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09"/>
  <workbookPr/>
  <mc:AlternateContent xmlns:mc="http://schemas.openxmlformats.org/markup-compatibility/2006">
    <mc:Choice Requires="x15">
      <x15ac:absPath xmlns:x15ac="http://schemas.microsoft.com/office/spreadsheetml/2010/11/ac" url="https://d.docs.live.net/750402cd0cd3f4fa/Desktop/2023 - 24 Audit papers/"/>
    </mc:Choice>
  </mc:AlternateContent>
  <xr:revisionPtr revIDLastSave="0" documentId="8_{5F0E0179-2333-44D4-AA4F-D8E4C84BEB6A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Accounting Statement" sheetId="5" r:id="rId1"/>
    <sheet name="Main Acc" sheetId="1" r:id="rId2"/>
    <sheet name="Uniity Bank Transactions" sheetId="24" r:id="rId3"/>
    <sheet name="Saving Acc" sheetId="2" r:id="rId4"/>
    <sheet name="Loans PWLB " sheetId="8" r:id="rId5"/>
    <sheet name="Budget 2018-19" sheetId="6" state="hidden" r:id="rId6"/>
    <sheet name="Capital Expenditure plan" sheetId="7" state="hidden" r:id="rId7"/>
    <sheet name="Invoices" sheetId="11" state="hidden" r:id="rId8"/>
    <sheet name="Parish Asset List" sheetId="20" r:id="rId9"/>
    <sheet name="VAT Claim" sheetId="14" state="hidden" r:id="rId10"/>
    <sheet name="Year End Spend v Budget (2020)" sheetId="16" state="hidden" r:id="rId11"/>
    <sheet name="Year End Spend v Budget (2019)" sheetId="15" state="hidden" r:id="rId12"/>
    <sheet name="YE Spend v Budget 22 2% reject" sheetId="19" state="hidden" r:id="rId13"/>
  </sheets>
  <externalReferences>
    <externalReference r:id="rId14"/>
    <externalReference r:id="rId15"/>
  </externalReferences>
  <definedNames>
    <definedName name="_xlnm._FilterDatabase" localSheetId="1" hidden="1">'Main Acc'!$D$1:$D$162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1" i="24" l="1"/>
  <c r="T81" i="24"/>
  <c r="AE142" i="1"/>
  <c r="AF142" i="1"/>
  <c r="L12" i="8" l="1"/>
  <c r="L11" i="8"/>
  <c r="K12" i="8"/>
  <c r="L9" i="8"/>
  <c r="J6" i="8"/>
  <c r="J12" i="8" s="1"/>
  <c r="AG8" i="24"/>
  <c r="AB77" i="24"/>
  <c r="AB76" i="24"/>
  <c r="AG73" i="24"/>
  <c r="AP70" i="24"/>
  <c r="AI69" i="24"/>
  <c r="Y64" i="24"/>
  <c r="Z55" i="24"/>
  <c r="Z54" i="24"/>
  <c r="Z53" i="24"/>
  <c r="Z52" i="24"/>
  <c r="Z51" i="24"/>
  <c r="Z50" i="24"/>
  <c r="Z49" i="24"/>
  <c r="Z48" i="24"/>
  <c r="Z47" i="24"/>
  <c r="Z46" i="24"/>
  <c r="Z45" i="24"/>
  <c r="Z44" i="24"/>
  <c r="Z43" i="24"/>
  <c r="Z42" i="24"/>
  <c r="Z41" i="24"/>
  <c r="Z40" i="24"/>
  <c r="Z39" i="24"/>
  <c r="Z38" i="24"/>
  <c r="Z37" i="24"/>
  <c r="Z36" i="24"/>
  <c r="Z35" i="24"/>
  <c r="Z34" i="24"/>
  <c r="Z33" i="24"/>
  <c r="Z32" i="24"/>
  <c r="Z31" i="24"/>
  <c r="Z30" i="24"/>
  <c r="Z29" i="24"/>
  <c r="Z28" i="24"/>
  <c r="Z27" i="24"/>
  <c r="Z26" i="24"/>
  <c r="Z25" i="24"/>
  <c r="Z24" i="24"/>
  <c r="Z23" i="24"/>
  <c r="Z22" i="24"/>
  <c r="Z21" i="24"/>
  <c r="Z20" i="24"/>
  <c r="Z19" i="24"/>
  <c r="Z18" i="24"/>
  <c r="Z17" i="24"/>
  <c r="Z16" i="24"/>
  <c r="Z15" i="24"/>
  <c r="Z14" i="24"/>
  <c r="Z13" i="24"/>
  <c r="Z12" i="24"/>
  <c r="Z11" i="24"/>
  <c r="Z10" i="24"/>
  <c r="Z9" i="24"/>
  <c r="Z8" i="24"/>
  <c r="Z7" i="24"/>
  <c r="Z57" i="24"/>
  <c r="Z58" i="24"/>
  <c r="Z59" i="24"/>
  <c r="Z60" i="24"/>
  <c r="Z61" i="24"/>
  <c r="Z62" i="24"/>
  <c r="Z63" i="24"/>
  <c r="Z64" i="24"/>
  <c r="Z65" i="24"/>
  <c r="Z66" i="24"/>
  <c r="Z67" i="24"/>
  <c r="Z68" i="24"/>
  <c r="Z69" i="24"/>
  <c r="Z70" i="24"/>
  <c r="Z71" i="24"/>
  <c r="Z72" i="24"/>
  <c r="Z73" i="24"/>
  <c r="Z74" i="24"/>
  <c r="Z75" i="24"/>
  <c r="Z76" i="24"/>
  <c r="Z77" i="24"/>
  <c r="Z78" i="24"/>
  <c r="Z79" i="24"/>
  <c r="Z56" i="24"/>
  <c r="AP52" i="24"/>
  <c r="U48" i="24"/>
  <c r="M40" i="24"/>
  <c r="M41" i="24"/>
  <c r="M46" i="24"/>
  <c r="AA12" i="24"/>
  <c r="I6" i="5"/>
  <c r="I7" i="5" s="1"/>
  <c r="B24" i="5"/>
  <c r="D5" i="2"/>
  <c r="D6" i="2" s="1"/>
  <c r="D7" i="2" s="1"/>
  <c r="D8" i="2" s="1"/>
  <c r="D9" i="2" s="1"/>
  <c r="D10" i="2" s="1"/>
  <c r="D11" i="2" s="1"/>
  <c r="D12" i="2" s="1"/>
  <c r="D13" i="2" s="1"/>
  <c r="D14" i="2" s="1"/>
  <c r="D15" i="2" s="1"/>
  <c r="BE142" i="1" l="1"/>
  <c r="AG62" i="24"/>
  <c r="AR44" i="24"/>
  <c r="AR45" i="24"/>
  <c r="AR46" i="24"/>
  <c r="AR47" i="24"/>
  <c r="AR48" i="24"/>
  <c r="AR49" i="24"/>
  <c r="AR50" i="24"/>
  <c r="AR51" i="24"/>
  <c r="AR52" i="24"/>
  <c r="AR53" i="24"/>
  <c r="AR54" i="24"/>
  <c r="AR55" i="24"/>
  <c r="AR56" i="24"/>
  <c r="AR57" i="24"/>
  <c r="AR58" i="24"/>
  <c r="AR59" i="24"/>
  <c r="AR60" i="24"/>
  <c r="AR61" i="24"/>
  <c r="AR62" i="24"/>
  <c r="AR63" i="24"/>
  <c r="AR64" i="24"/>
  <c r="AR65" i="24"/>
  <c r="AR66" i="24"/>
  <c r="AR67" i="24"/>
  <c r="AR68" i="24"/>
  <c r="AR69" i="24"/>
  <c r="AR70" i="24"/>
  <c r="AR71" i="24"/>
  <c r="AR72" i="24"/>
  <c r="AR73" i="24"/>
  <c r="AR74" i="24"/>
  <c r="AR75" i="24"/>
  <c r="AR76" i="24"/>
  <c r="AR77" i="24"/>
  <c r="AR78" i="24"/>
  <c r="AR79" i="24"/>
  <c r="AR7" i="24"/>
  <c r="AR8" i="24"/>
  <c r="AR9" i="24"/>
  <c r="AR10" i="24"/>
  <c r="AR11" i="24"/>
  <c r="AR12" i="24"/>
  <c r="AR13" i="24"/>
  <c r="AR14" i="24"/>
  <c r="AR15" i="24"/>
  <c r="AR16" i="24"/>
  <c r="AR17" i="24"/>
  <c r="AR18" i="24"/>
  <c r="AR19" i="24"/>
  <c r="AR20" i="24"/>
  <c r="AR21" i="24"/>
  <c r="AR22" i="24"/>
  <c r="AR23" i="24"/>
  <c r="AR24" i="24"/>
  <c r="AR25" i="24"/>
  <c r="AR26" i="24"/>
  <c r="AR27" i="24"/>
  <c r="AR28" i="24"/>
  <c r="AR29" i="24"/>
  <c r="AR30" i="24"/>
  <c r="AR31" i="24"/>
  <c r="AR32" i="24"/>
  <c r="AR33" i="24"/>
  <c r="AR34" i="24"/>
  <c r="AR35" i="24"/>
  <c r="AR36" i="24"/>
  <c r="AR37" i="24"/>
  <c r="AR38" i="24"/>
  <c r="AR39" i="24"/>
  <c r="AR40" i="24"/>
  <c r="AR41" i="24"/>
  <c r="AR42" i="24"/>
  <c r="AR43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2" i="24"/>
  <c r="M43" i="24"/>
  <c r="M44" i="24"/>
  <c r="M45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AT79" i="24" s="1"/>
  <c r="M7" i="24"/>
  <c r="M8" i="24"/>
  <c r="M9" i="24"/>
  <c r="M10" i="24"/>
  <c r="M11" i="24"/>
  <c r="M12" i="24"/>
  <c r="M13" i="24"/>
  <c r="M14" i="24"/>
  <c r="M15" i="24"/>
  <c r="M16" i="24"/>
  <c r="M17" i="24"/>
  <c r="BG71" i="1"/>
  <c r="AS61" i="24"/>
  <c r="AS10" i="24"/>
  <c r="AG53" i="24"/>
  <c r="AG54" i="24"/>
  <c r="AN60" i="24"/>
  <c r="AN50" i="24"/>
  <c r="AN47" i="24"/>
  <c r="AN72" i="24"/>
  <c r="AG63" i="24"/>
  <c r="AM11" i="24"/>
  <c r="AQ81" i="24"/>
  <c r="Z80" i="24"/>
  <c r="Z6" i="24"/>
  <c r="U16" i="24"/>
  <c r="U17" i="24"/>
  <c r="U18" i="24"/>
  <c r="U19" i="24"/>
  <c r="U20" i="24"/>
  <c r="U21" i="24"/>
  <c r="U22" i="24"/>
  <c r="U23" i="24"/>
  <c r="U24" i="24"/>
  <c r="U25" i="24"/>
  <c r="U26" i="24"/>
  <c r="U27" i="24"/>
  <c r="U28" i="24"/>
  <c r="U29" i="24"/>
  <c r="U30" i="24"/>
  <c r="U31" i="24"/>
  <c r="U32" i="24"/>
  <c r="U33" i="24"/>
  <c r="U34" i="24"/>
  <c r="U35" i="24"/>
  <c r="U36" i="24"/>
  <c r="U37" i="24"/>
  <c r="U38" i="24"/>
  <c r="U39" i="24"/>
  <c r="U40" i="24"/>
  <c r="U41" i="24"/>
  <c r="U42" i="24"/>
  <c r="U43" i="24"/>
  <c r="U44" i="24"/>
  <c r="U45" i="24"/>
  <c r="U46" i="24"/>
  <c r="U47" i="24"/>
  <c r="U49" i="24"/>
  <c r="U50" i="24"/>
  <c r="U51" i="24"/>
  <c r="U52" i="24"/>
  <c r="U53" i="24"/>
  <c r="U54" i="24"/>
  <c r="U55" i="24"/>
  <c r="U56" i="24"/>
  <c r="U57" i="24"/>
  <c r="U58" i="24"/>
  <c r="U59" i="24"/>
  <c r="U60" i="24"/>
  <c r="U61" i="24"/>
  <c r="U62" i="24"/>
  <c r="U63" i="24"/>
  <c r="U64" i="24"/>
  <c r="U65" i="24"/>
  <c r="U66" i="24"/>
  <c r="U67" i="24"/>
  <c r="U68" i="24"/>
  <c r="U69" i="24"/>
  <c r="U70" i="24"/>
  <c r="U71" i="24"/>
  <c r="U72" i="24"/>
  <c r="U73" i="24"/>
  <c r="U74" i="24"/>
  <c r="U75" i="24"/>
  <c r="U76" i="24"/>
  <c r="U77" i="24"/>
  <c r="U78" i="24"/>
  <c r="Q6" i="24"/>
  <c r="R6" i="24"/>
  <c r="U6" i="24"/>
  <c r="U7" i="24"/>
  <c r="U8" i="24"/>
  <c r="U9" i="24"/>
  <c r="U10" i="24"/>
  <c r="U11" i="24"/>
  <c r="U12" i="24"/>
  <c r="U13" i="24"/>
  <c r="U14" i="24"/>
  <c r="U15" i="24"/>
  <c r="Q14" i="24"/>
  <c r="Q15" i="24"/>
  <c r="Q16" i="24"/>
  <c r="Q17" i="24"/>
  <c r="Q18" i="24"/>
  <c r="Q19" i="24"/>
  <c r="Q20" i="24"/>
  <c r="Q21" i="24"/>
  <c r="Q22" i="24"/>
  <c r="Q23" i="24"/>
  <c r="Q24" i="24"/>
  <c r="Q25" i="24"/>
  <c r="Q26" i="24"/>
  <c r="Q27" i="24"/>
  <c r="Q28" i="24"/>
  <c r="Q29" i="24"/>
  <c r="Q30" i="24"/>
  <c r="Q31" i="24"/>
  <c r="Q32" i="24"/>
  <c r="Q33" i="24"/>
  <c r="Q34" i="24"/>
  <c r="Q35" i="24"/>
  <c r="Q36" i="24"/>
  <c r="Q37" i="24"/>
  <c r="Q38" i="24"/>
  <c r="Q39" i="24"/>
  <c r="Q40" i="24"/>
  <c r="Q41" i="24"/>
  <c r="Q42" i="24"/>
  <c r="Q43" i="24"/>
  <c r="Q44" i="24"/>
  <c r="Q45" i="24"/>
  <c r="Q46" i="24"/>
  <c r="Q47" i="24"/>
  <c r="Q48" i="24"/>
  <c r="Q49" i="24"/>
  <c r="Q50" i="24"/>
  <c r="Q51" i="24"/>
  <c r="Q52" i="24"/>
  <c r="Q53" i="24"/>
  <c r="Q54" i="24"/>
  <c r="Q55" i="24"/>
  <c r="Q56" i="24"/>
  <c r="Q57" i="24"/>
  <c r="Q58" i="24"/>
  <c r="Q59" i="24"/>
  <c r="Q60" i="24"/>
  <c r="Q61" i="24"/>
  <c r="Q62" i="24"/>
  <c r="Q63" i="24"/>
  <c r="Q64" i="24"/>
  <c r="Q65" i="24"/>
  <c r="Q66" i="24"/>
  <c r="Q67" i="24"/>
  <c r="Q68" i="24"/>
  <c r="Q69" i="24"/>
  <c r="Q70" i="24"/>
  <c r="Q71" i="24"/>
  <c r="Q72" i="24"/>
  <c r="Q73" i="24"/>
  <c r="Q74" i="24"/>
  <c r="Q75" i="24"/>
  <c r="Q76" i="24"/>
  <c r="Q77" i="24"/>
  <c r="Q78" i="24"/>
  <c r="Q80" i="24"/>
  <c r="Q7" i="24"/>
  <c r="Q8" i="24"/>
  <c r="Q9" i="24"/>
  <c r="Q10" i="24"/>
  <c r="Q11" i="24"/>
  <c r="Q12" i="24"/>
  <c r="Q13" i="24"/>
  <c r="T7" i="24"/>
  <c r="I81" i="24"/>
  <c r="J81" i="24"/>
  <c r="K81" i="24"/>
  <c r="L81" i="24"/>
  <c r="N81" i="24"/>
  <c r="O81" i="24"/>
  <c r="V81" i="24"/>
  <c r="W81" i="24"/>
  <c r="X81" i="24"/>
  <c r="Y81" i="24"/>
  <c r="AA81" i="24"/>
  <c r="AB81" i="24"/>
  <c r="AC81" i="24"/>
  <c r="AD81" i="24"/>
  <c r="AE81" i="24"/>
  <c r="AF81" i="24"/>
  <c r="AH81" i="24"/>
  <c r="AI81" i="24"/>
  <c r="AJ81" i="24"/>
  <c r="AK81" i="24"/>
  <c r="AL81" i="24"/>
  <c r="AO81" i="24"/>
  <c r="AP81" i="24"/>
  <c r="T8" i="24"/>
  <c r="T9" i="24"/>
  <c r="R10" i="24"/>
  <c r="R11" i="24"/>
  <c r="R12" i="24"/>
  <c r="R13" i="24"/>
  <c r="R14" i="24"/>
  <c r="R15" i="24"/>
  <c r="R16" i="24"/>
  <c r="R17" i="24"/>
  <c r="R18" i="24"/>
  <c r="R19" i="24"/>
  <c r="R20" i="24"/>
  <c r="R21" i="24"/>
  <c r="R22" i="24"/>
  <c r="R23" i="24"/>
  <c r="R24" i="24"/>
  <c r="R25" i="24"/>
  <c r="R26" i="24"/>
  <c r="R27" i="24"/>
  <c r="R28" i="24"/>
  <c r="R29" i="24"/>
  <c r="R30" i="24"/>
  <c r="R31" i="24"/>
  <c r="R32" i="24"/>
  <c r="R33" i="24"/>
  <c r="R34" i="24"/>
  <c r="R35" i="24"/>
  <c r="R36" i="24"/>
  <c r="R37" i="24"/>
  <c r="R38" i="24"/>
  <c r="R39" i="24"/>
  <c r="R40" i="24"/>
  <c r="R41" i="24"/>
  <c r="R42" i="24"/>
  <c r="R43" i="24"/>
  <c r="R44" i="24"/>
  <c r="R45" i="24"/>
  <c r="R46" i="24"/>
  <c r="R47" i="24"/>
  <c r="R48" i="24"/>
  <c r="T49" i="24"/>
  <c r="R50" i="24"/>
  <c r="R51" i="24"/>
  <c r="R52" i="24"/>
  <c r="R53" i="24"/>
  <c r="R54" i="24"/>
  <c r="R55" i="24"/>
  <c r="R56" i="24"/>
  <c r="R57" i="24"/>
  <c r="R58" i="24"/>
  <c r="R59" i="24"/>
  <c r="R60" i="24"/>
  <c r="R61" i="24"/>
  <c r="R62" i="24"/>
  <c r="R63" i="24"/>
  <c r="R64" i="24"/>
  <c r="R65" i="24"/>
  <c r="R66" i="24"/>
  <c r="R67" i="24"/>
  <c r="R68" i="24"/>
  <c r="R69" i="24"/>
  <c r="R70" i="24"/>
  <c r="R71" i="24"/>
  <c r="R72" i="24"/>
  <c r="R73" i="24"/>
  <c r="R74" i="24"/>
  <c r="R75" i="24"/>
  <c r="R76" i="24"/>
  <c r="R77" i="24"/>
  <c r="T78" i="24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H62" i="24"/>
  <c r="H63" i="24"/>
  <c r="H64" i="24"/>
  <c r="H65" i="24"/>
  <c r="H66" i="24"/>
  <c r="H67" i="24"/>
  <c r="H68" i="24"/>
  <c r="H69" i="24"/>
  <c r="H70" i="24"/>
  <c r="H71" i="24"/>
  <c r="H72" i="24"/>
  <c r="H73" i="24"/>
  <c r="H74" i="24"/>
  <c r="H75" i="24"/>
  <c r="H76" i="24"/>
  <c r="H77" i="24"/>
  <c r="H78" i="24"/>
  <c r="U142" i="1"/>
  <c r="V142" i="1"/>
  <c r="W142" i="1"/>
  <c r="X142" i="1"/>
  <c r="Y142" i="1"/>
  <c r="Z142" i="1"/>
  <c r="AA142" i="1"/>
  <c r="AB142" i="1"/>
  <c r="AC142" i="1"/>
  <c r="AQ142" i="1"/>
  <c r="AS142" i="1"/>
  <c r="AY142" i="1"/>
  <c r="AZ142" i="1"/>
  <c r="BB142" i="1"/>
  <c r="BD142" i="1"/>
  <c r="H143" i="1"/>
  <c r="I143" i="1"/>
  <c r="J143" i="1"/>
  <c r="K143" i="1"/>
  <c r="L143" i="1"/>
  <c r="M143" i="1"/>
  <c r="N143" i="1"/>
  <c r="O143" i="1"/>
  <c r="P143" i="1"/>
  <c r="Q143" i="1"/>
  <c r="F143" i="1"/>
  <c r="G143" i="1"/>
  <c r="Q62" i="1"/>
  <c r="R62" i="1"/>
  <c r="AB62" i="1"/>
  <c r="AC62" i="1"/>
  <c r="P62" i="1"/>
  <c r="G62" i="1"/>
  <c r="H62" i="1"/>
  <c r="I62" i="1"/>
  <c r="J62" i="1"/>
  <c r="K62" i="1"/>
  <c r="L62" i="1"/>
  <c r="M62" i="1"/>
  <c r="N62" i="1"/>
  <c r="O62" i="1"/>
  <c r="C17" i="2"/>
  <c r="B12" i="5" s="1"/>
  <c r="T68" i="1"/>
  <c r="T69" i="1"/>
  <c r="T70" i="1"/>
  <c r="T71" i="1"/>
  <c r="BH71" i="1" s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AF93" i="1" s="1"/>
  <c r="BG93" i="1" s="1"/>
  <c r="T94" i="1"/>
  <c r="AV94" i="1" s="1"/>
  <c r="BG94" i="1" s="1"/>
  <c r="T95" i="1"/>
  <c r="T96" i="1"/>
  <c r="AF96" i="1" s="1"/>
  <c r="BG96" i="1" s="1"/>
  <c r="T97" i="1"/>
  <c r="AD97" i="1" s="1"/>
  <c r="BG97" i="1" s="1"/>
  <c r="T98" i="1"/>
  <c r="AM98" i="1" s="1"/>
  <c r="BG98" i="1" s="1"/>
  <c r="T99" i="1"/>
  <c r="BA99" i="1" s="1"/>
  <c r="BG99" i="1" s="1"/>
  <c r="T100" i="1"/>
  <c r="BA100" i="1" s="1"/>
  <c r="BG100" i="1" s="1"/>
  <c r="T101" i="1"/>
  <c r="AG101" i="1" s="1"/>
  <c r="BG101" i="1" s="1"/>
  <c r="T102" i="1"/>
  <c r="AH102" i="1" s="1"/>
  <c r="BG102" i="1" s="1"/>
  <c r="T103" i="1"/>
  <c r="AD103" i="1" s="1"/>
  <c r="BG103" i="1" s="1"/>
  <c r="T104" i="1"/>
  <c r="BA104" i="1" s="1"/>
  <c r="BG104" i="1" s="1"/>
  <c r="T105" i="1"/>
  <c r="AM105" i="1" s="1"/>
  <c r="BG105" i="1" s="1"/>
  <c r="T106" i="1"/>
  <c r="AF106" i="1" s="1"/>
  <c r="BG106" i="1" s="1"/>
  <c r="T107" i="1"/>
  <c r="AO107" i="1" s="1"/>
  <c r="BG107" i="1" s="1"/>
  <c r="T108" i="1"/>
  <c r="AF108" i="1" s="1"/>
  <c r="BG108" i="1" s="1"/>
  <c r="T109" i="1"/>
  <c r="AD109" i="1" s="1"/>
  <c r="BG109" i="1" s="1"/>
  <c r="T110" i="1"/>
  <c r="AT110" i="1" s="1"/>
  <c r="BG110" i="1" s="1"/>
  <c r="T111" i="1"/>
  <c r="BG111" i="1" s="1"/>
  <c r="T112" i="1"/>
  <c r="AT112" i="1" s="1"/>
  <c r="BG112" i="1" s="1"/>
  <c r="T113" i="1"/>
  <c r="AM113" i="1" s="1"/>
  <c r="BG113" i="1" s="1"/>
  <c r="T114" i="1"/>
  <c r="AM114" i="1" s="1"/>
  <c r="BG114" i="1" s="1"/>
  <c r="T115" i="1"/>
  <c r="AO115" i="1" s="1"/>
  <c r="BG115" i="1" s="1"/>
  <c r="T116" i="1"/>
  <c r="AI116" i="1" s="1"/>
  <c r="AI142" i="1" s="1"/>
  <c r="T117" i="1"/>
  <c r="AO117" i="1" s="1"/>
  <c r="BG117" i="1" s="1"/>
  <c r="T118" i="1"/>
  <c r="AW118" i="1" s="1"/>
  <c r="BG118" i="1" s="1"/>
  <c r="T119" i="1"/>
  <c r="AO119" i="1" s="1"/>
  <c r="BG119" i="1" s="1"/>
  <c r="T120" i="1"/>
  <c r="AL120" i="1" s="1"/>
  <c r="BG120" i="1" s="1"/>
  <c r="T121" i="1"/>
  <c r="AF121" i="1" s="1"/>
  <c r="BG121" i="1" s="1"/>
  <c r="T122" i="1"/>
  <c r="AD122" i="1" s="1"/>
  <c r="BG122" i="1" s="1"/>
  <c r="T123" i="1"/>
  <c r="AM123" i="1" s="1"/>
  <c r="BG123" i="1" s="1"/>
  <c r="T124" i="1"/>
  <c r="AJ124" i="1" s="1"/>
  <c r="AJ142" i="1" s="1"/>
  <c r="T125" i="1"/>
  <c r="BF125" i="1" s="1"/>
  <c r="BG125" i="1" s="1"/>
  <c r="T126" i="1"/>
  <c r="BA126" i="1" s="1"/>
  <c r="BG126" i="1" s="1"/>
  <c r="T127" i="1"/>
  <c r="AT127" i="1" s="1"/>
  <c r="BG127" i="1" s="1"/>
  <c r="T128" i="1"/>
  <c r="AT128" i="1" s="1"/>
  <c r="BG128" i="1" s="1"/>
  <c r="T129" i="1"/>
  <c r="AX129" i="1" s="1"/>
  <c r="BG129" i="1" s="1"/>
  <c r="T130" i="1"/>
  <c r="T131" i="1"/>
  <c r="AL131" i="1" s="1"/>
  <c r="BG131" i="1" s="1"/>
  <c r="T132" i="1"/>
  <c r="AH132" i="1" s="1"/>
  <c r="BG132" i="1" s="1"/>
  <c r="T133" i="1"/>
  <c r="T134" i="1"/>
  <c r="BC134" i="1" s="1"/>
  <c r="BG134" i="1" s="1"/>
  <c r="T135" i="1"/>
  <c r="T136" i="1"/>
  <c r="T137" i="1"/>
  <c r="T138" i="1"/>
  <c r="T139" i="1"/>
  <c r="T141" i="1"/>
  <c r="T24" i="1"/>
  <c r="W24" i="1" s="1"/>
  <c r="W62" i="1" s="1"/>
  <c r="T23" i="1"/>
  <c r="T67" i="1"/>
  <c r="T22" i="1"/>
  <c r="X22" i="1" s="1"/>
  <c r="AF133" i="1"/>
  <c r="BG133" i="1" s="1"/>
  <c r="AK130" i="1"/>
  <c r="BG130" i="1" s="1"/>
  <c r="T21" i="1"/>
  <c r="Y21" i="1" s="1"/>
  <c r="Z62" i="1" s="1"/>
  <c r="T20" i="1"/>
  <c r="X20" i="1" s="1"/>
  <c r="AT6" i="24" l="1"/>
  <c r="P13" i="24"/>
  <c r="AT13" i="24" s="1"/>
  <c r="BA86" i="1"/>
  <c r="BG86" i="1" s="1"/>
  <c r="BH86" i="1" s="1"/>
  <c r="AF137" i="1"/>
  <c r="BG137" i="1" s="1"/>
  <c r="BH137" i="1" s="1"/>
  <c r="AG89" i="1"/>
  <c r="BG89" i="1" s="1"/>
  <c r="BH89" i="1" s="1"/>
  <c r="AU85" i="1"/>
  <c r="AU142" i="1" s="1"/>
  <c r="AM81" i="1"/>
  <c r="BG81" i="1" s="1"/>
  <c r="BH81" i="1" s="1"/>
  <c r="AG77" i="1"/>
  <c r="BG77" i="1" s="1"/>
  <c r="BH77" i="1" s="1"/>
  <c r="AD90" i="1"/>
  <c r="BG90" i="1" s="1"/>
  <c r="BH90" i="1" s="1"/>
  <c r="AL82" i="1"/>
  <c r="BG82" i="1" s="1"/>
  <c r="BH82" i="1" s="1"/>
  <c r="AF78" i="1"/>
  <c r="BG78" i="1" s="1"/>
  <c r="BH78" i="1" s="1"/>
  <c r="AF141" i="1"/>
  <c r="BG141" i="1" s="1"/>
  <c r="BH141" i="1" s="1"/>
  <c r="AF136" i="1"/>
  <c r="BG136" i="1" s="1"/>
  <c r="BH136" i="1" s="1"/>
  <c r="AM92" i="1"/>
  <c r="BG92" i="1" s="1"/>
  <c r="BH92" i="1" s="1"/>
  <c r="AV88" i="1"/>
  <c r="BG88" i="1" s="1"/>
  <c r="BH88" i="1" s="1"/>
  <c r="AV84" i="1"/>
  <c r="BG84" i="1" s="1"/>
  <c r="BH84" i="1" s="1"/>
  <c r="AD80" i="1"/>
  <c r="BG80" i="1" s="1"/>
  <c r="BH80" i="1" s="1"/>
  <c r="AX76" i="1"/>
  <c r="BG76" i="1" s="1"/>
  <c r="BH76" i="1" s="1"/>
  <c r="AN139" i="1"/>
  <c r="AN142" i="1" s="1"/>
  <c r="AF135" i="1"/>
  <c r="BG135" i="1" s="1"/>
  <c r="BH135" i="1" s="1"/>
  <c r="AH91" i="1"/>
  <c r="BG91" i="1" s="1"/>
  <c r="BH91" i="1" s="1"/>
  <c r="AR87" i="1"/>
  <c r="BG87" i="1" s="1"/>
  <c r="BH87" i="1" s="1"/>
  <c r="AP83" i="1"/>
  <c r="BG83" i="1" s="1"/>
  <c r="BH83" i="1" s="1"/>
  <c r="AH79" i="1"/>
  <c r="BG79" i="1" s="1"/>
  <c r="BH79" i="1" s="1"/>
  <c r="P41" i="24"/>
  <c r="AT41" i="24" s="1"/>
  <c r="P40" i="24"/>
  <c r="AT40" i="24" s="1"/>
  <c r="P8" i="24"/>
  <c r="AT8" i="24" s="1"/>
  <c r="P16" i="24"/>
  <c r="AT16" i="24" s="1"/>
  <c r="P46" i="24"/>
  <c r="AT46" i="24" s="1"/>
  <c r="P10" i="24"/>
  <c r="AT10" i="24" s="1"/>
  <c r="P75" i="24"/>
  <c r="AT75" i="24" s="1"/>
  <c r="P67" i="24"/>
  <c r="AT67" i="24" s="1"/>
  <c r="P59" i="24"/>
  <c r="AT59" i="24" s="1"/>
  <c r="P51" i="24"/>
  <c r="AT51" i="24" s="1"/>
  <c r="P43" i="24"/>
  <c r="AT43" i="24" s="1"/>
  <c r="P35" i="24"/>
  <c r="AT35" i="24" s="1"/>
  <c r="P27" i="24"/>
  <c r="AT27" i="24" s="1"/>
  <c r="P19" i="24"/>
  <c r="AT19" i="24" s="1"/>
  <c r="P17" i="24"/>
  <c r="AT17" i="24" s="1"/>
  <c r="P9" i="24"/>
  <c r="AT9" i="24" s="1"/>
  <c r="P74" i="24"/>
  <c r="AT74" i="24" s="1"/>
  <c r="P66" i="24"/>
  <c r="AT66" i="24" s="1"/>
  <c r="P58" i="24"/>
  <c r="AT58" i="24" s="1"/>
  <c r="P50" i="24"/>
  <c r="AT50" i="24" s="1"/>
  <c r="P42" i="24"/>
  <c r="AT42" i="24" s="1"/>
  <c r="P34" i="24"/>
  <c r="AT34" i="24" s="1"/>
  <c r="P26" i="24"/>
  <c r="AT26" i="24" s="1"/>
  <c r="P18" i="24"/>
  <c r="AT18" i="24" s="1"/>
  <c r="P73" i="24"/>
  <c r="AT73" i="24" s="1"/>
  <c r="P65" i="24"/>
  <c r="AT65" i="24" s="1"/>
  <c r="P57" i="24"/>
  <c r="P49" i="24"/>
  <c r="AT49" i="24" s="1"/>
  <c r="P33" i="24"/>
  <c r="AT33" i="24" s="1"/>
  <c r="P25" i="24"/>
  <c r="AT25" i="24" s="1"/>
  <c r="P15" i="24"/>
  <c r="AT15" i="24" s="1"/>
  <c r="P7" i="24"/>
  <c r="AT7" i="24" s="1"/>
  <c r="P72" i="24"/>
  <c r="AT72" i="24" s="1"/>
  <c r="P64" i="24"/>
  <c r="AT64" i="24" s="1"/>
  <c r="P56" i="24"/>
  <c r="AT56" i="24" s="1"/>
  <c r="P48" i="24"/>
  <c r="AT48" i="24" s="1"/>
  <c r="P32" i="24"/>
  <c r="AT32" i="24" s="1"/>
  <c r="P24" i="24"/>
  <c r="AT24" i="24" s="1"/>
  <c r="P14" i="24"/>
  <c r="AT14" i="24" s="1"/>
  <c r="P71" i="24"/>
  <c r="AT71" i="24" s="1"/>
  <c r="P63" i="24"/>
  <c r="AT63" i="24" s="1"/>
  <c r="P55" i="24"/>
  <c r="AT55" i="24" s="1"/>
  <c r="P47" i="24"/>
  <c r="AT47" i="24" s="1"/>
  <c r="P39" i="24"/>
  <c r="AT39" i="24" s="1"/>
  <c r="P31" i="24"/>
  <c r="AT31" i="24" s="1"/>
  <c r="P23" i="24"/>
  <c r="AT23" i="24" s="1"/>
  <c r="P78" i="24"/>
  <c r="AT78" i="24" s="1"/>
  <c r="P70" i="24"/>
  <c r="AT70" i="24" s="1"/>
  <c r="P62" i="24"/>
  <c r="AT62" i="24" s="1"/>
  <c r="P54" i="24"/>
  <c r="AT54" i="24" s="1"/>
  <c r="P38" i="24"/>
  <c r="AT38" i="24" s="1"/>
  <c r="P30" i="24"/>
  <c r="AT30" i="24" s="1"/>
  <c r="P22" i="24"/>
  <c r="AT22" i="24" s="1"/>
  <c r="P12" i="24"/>
  <c r="AT12" i="24" s="1"/>
  <c r="P77" i="24"/>
  <c r="AT77" i="24" s="1"/>
  <c r="P69" i="24"/>
  <c r="AT69" i="24" s="1"/>
  <c r="P61" i="24"/>
  <c r="AT61" i="24" s="1"/>
  <c r="P53" i="24"/>
  <c r="AT53" i="24" s="1"/>
  <c r="P45" i="24"/>
  <c r="AT45" i="24" s="1"/>
  <c r="P37" i="24"/>
  <c r="AT37" i="24" s="1"/>
  <c r="P29" i="24"/>
  <c r="AT29" i="24" s="1"/>
  <c r="P21" i="24"/>
  <c r="AT21" i="24" s="1"/>
  <c r="AT57" i="24"/>
  <c r="P11" i="24"/>
  <c r="AT11" i="24" s="1"/>
  <c r="P76" i="24"/>
  <c r="AT76" i="24" s="1"/>
  <c r="P68" i="24"/>
  <c r="AT68" i="24" s="1"/>
  <c r="P60" i="24"/>
  <c r="AT60" i="24" s="1"/>
  <c r="P52" i="24"/>
  <c r="AT52" i="24" s="1"/>
  <c r="P44" i="24"/>
  <c r="AT44" i="24" s="1"/>
  <c r="P36" i="24"/>
  <c r="AT36" i="24" s="1"/>
  <c r="P28" i="24"/>
  <c r="AT28" i="24" s="1"/>
  <c r="P20" i="24"/>
  <c r="AT20" i="24" s="1"/>
  <c r="BG124" i="1"/>
  <c r="BH124" i="1" s="1"/>
  <c r="BG116" i="1"/>
  <c r="BH116" i="1" s="1"/>
  <c r="BG139" i="1"/>
  <c r="BH139" i="1" s="1"/>
  <c r="AR81" i="24"/>
  <c r="M81" i="24"/>
  <c r="N84" i="24" s="1"/>
  <c r="AS81" i="24"/>
  <c r="BF138" i="1"/>
  <c r="BG138" i="1" s="1"/>
  <c r="BH138" i="1" s="1"/>
  <c r="BH98" i="1"/>
  <c r="AG81" i="24"/>
  <c r="AN81" i="24"/>
  <c r="Z81" i="24"/>
  <c r="U81" i="24"/>
  <c r="Q81" i="24"/>
  <c r="R81" i="24"/>
  <c r="AT142" i="1"/>
  <c r="AR142" i="1"/>
  <c r="AW142" i="1"/>
  <c r="BC142" i="1"/>
  <c r="T142" i="1"/>
  <c r="BH119" i="1"/>
  <c r="BH125" i="1"/>
  <c r="BH109" i="1"/>
  <c r="BH101" i="1"/>
  <c r="BH93" i="1"/>
  <c r="BH108" i="1"/>
  <c r="BH107" i="1"/>
  <c r="BH100" i="1"/>
  <c r="BH131" i="1"/>
  <c r="BH102" i="1"/>
  <c r="BH94" i="1"/>
  <c r="BH127" i="1"/>
  <c r="BH123" i="1"/>
  <c r="BH115" i="1"/>
  <c r="BH99" i="1"/>
  <c r="BH103" i="1"/>
  <c r="BH132" i="1"/>
  <c r="BH111" i="1"/>
  <c r="BH110" i="1"/>
  <c r="BH129" i="1"/>
  <c r="BH121" i="1"/>
  <c r="BH113" i="1"/>
  <c r="BH105" i="1"/>
  <c r="BH97" i="1"/>
  <c r="BH126" i="1"/>
  <c r="BH128" i="1"/>
  <c r="BH120" i="1"/>
  <c r="BH112" i="1"/>
  <c r="BH104" i="1"/>
  <c r="BH122" i="1"/>
  <c r="BH96" i="1"/>
  <c r="BH130" i="1"/>
  <c r="BH133" i="1"/>
  <c r="BH134" i="1"/>
  <c r="BH118" i="1"/>
  <c r="AG95" i="1"/>
  <c r="BH114" i="1"/>
  <c r="BH106" i="1"/>
  <c r="BH117" i="1"/>
  <c r="F62" i="1"/>
  <c r="T19" i="1"/>
  <c r="X19" i="1" s="1"/>
  <c r="T18" i="1"/>
  <c r="V18" i="1" s="1"/>
  <c r="T17" i="1"/>
  <c r="Y17" i="1" s="1"/>
  <c r="Y2" i="24" l="1"/>
  <c r="AX142" i="1"/>
  <c r="C16" i="5" s="1"/>
  <c r="AV142" i="1"/>
  <c r="BA142" i="1"/>
  <c r="BG85" i="1"/>
  <c r="BH85" i="1" s="1"/>
  <c r="AL142" i="1"/>
  <c r="T144" i="1"/>
  <c r="BF142" i="1"/>
  <c r="AT81" i="24"/>
  <c r="P81" i="24"/>
  <c r="B11" i="5"/>
  <c r="AK142" i="1"/>
  <c r="BG95" i="1"/>
  <c r="BH95" i="1" s="1"/>
  <c r="T15" i="1"/>
  <c r="AA15" i="1" s="1"/>
  <c r="AA62" i="1" s="1"/>
  <c r="T16" i="1"/>
  <c r="X16" i="1" s="1"/>
  <c r="T14" i="1"/>
  <c r="Y14" i="1" s="1"/>
  <c r="AF68" i="1"/>
  <c r="BG68" i="1" s="1"/>
  <c r="BH68" i="1" s="1"/>
  <c r="AO69" i="1"/>
  <c r="BG69" i="1" s="1"/>
  <c r="BH69" i="1" s="1"/>
  <c r="AM70" i="1"/>
  <c r="BG70" i="1" s="1"/>
  <c r="BH70" i="1" s="1"/>
  <c r="AH72" i="1"/>
  <c r="BG72" i="1" s="1"/>
  <c r="BH72" i="1" s="1"/>
  <c r="AD73" i="1"/>
  <c r="BG73" i="1" s="1"/>
  <c r="BH73" i="1" s="1"/>
  <c r="AP74" i="1"/>
  <c r="BG74" i="1" s="1"/>
  <c r="BH74" i="1" s="1"/>
  <c r="AO75" i="1"/>
  <c r="BG75" i="1" s="1"/>
  <c r="BH75" i="1" s="1"/>
  <c r="AO67" i="1"/>
  <c r="BG67" i="1" s="1"/>
  <c r="BH67" i="1" s="1"/>
  <c r="D4" i="2"/>
  <c r="D21" i="2" s="1"/>
  <c r="T13" i="1"/>
  <c r="X13" i="1" s="1"/>
  <c r="T12" i="1"/>
  <c r="Y12" i="1" s="1"/>
  <c r="T11" i="1"/>
  <c r="X11" i="1" s="1"/>
  <c r="T10" i="1"/>
  <c r="X10" i="1" s="1"/>
  <c r="T9" i="1"/>
  <c r="X9" i="1" s="1"/>
  <c r="T8" i="1"/>
  <c r="X8" i="1" s="1"/>
  <c r="T7" i="1"/>
  <c r="X7" i="1" s="1"/>
  <c r="T6" i="1"/>
  <c r="X6" i="1" s="1"/>
  <c r="T5" i="1"/>
  <c r="Y62" i="1" l="1"/>
  <c r="AM142" i="1"/>
  <c r="AD142" i="1"/>
  <c r="C15" i="5" s="1"/>
  <c r="AH142" i="1"/>
  <c r="AG142" i="1"/>
  <c r="T62" i="1"/>
  <c r="E14" i="5" s="1"/>
  <c r="AO142" i="1"/>
  <c r="AP142" i="1"/>
  <c r="X62" i="1"/>
  <c r="V5" i="1"/>
  <c r="U144" i="1" l="1"/>
  <c r="Q63" i="1"/>
  <c r="BG142" i="1"/>
  <c r="V62" i="1"/>
  <c r="C9" i="5" l="1"/>
  <c r="B10" i="5" s="1"/>
  <c r="B7" i="5"/>
  <c r="T64" i="1"/>
  <c r="Z63" i="1"/>
  <c r="C13" i="5" l="1"/>
  <c r="F144" i="1" l="1"/>
  <c r="H23" i="20" l="1"/>
  <c r="G144" i="1" l="1"/>
  <c r="H144" i="1" l="1"/>
  <c r="I144" i="1" s="1"/>
  <c r="J144" i="1" s="1"/>
  <c r="K144" i="1" s="1"/>
  <c r="L144" i="1" s="1"/>
  <c r="M144" i="1" s="1"/>
  <c r="N144" i="1" s="1"/>
  <c r="O144" i="1" s="1"/>
  <c r="P144" i="1" s="1"/>
  <c r="Q144" i="1" s="1"/>
  <c r="BG145" i="1" l="1"/>
  <c r="L23" i="19"/>
  <c r="L43" i="19"/>
  <c r="K43" i="19"/>
  <c r="L50" i="19"/>
  <c r="L47" i="19"/>
  <c r="K23" i="19"/>
  <c r="I17" i="19"/>
  <c r="I16" i="19"/>
  <c r="I15" i="19"/>
  <c r="I7" i="19"/>
  <c r="H59" i="19"/>
  <c r="L57" i="19"/>
  <c r="H56" i="19"/>
  <c r="I56" i="19" s="1"/>
  <c r="H55" i="19"/>
  <c r="I55" i="19" s="1"/>
  <c r="G55" i="19"/>
  <c r="L53" i="19"/>
  <c r="G52" i="19"/>
  <c r="G53" i="19" s="1"/>
  <c r="D52" i="19"/>
  <c r="D53" i="19" s="1"/>
  <c r="C52" i="19"/>
  <c r="C53" i="19" s="1"/>
  <c r="G47" i="19"/>
  <c r="H43" i="19"/>
  <c r="H47" i="19" s="1"/>
  <c r="D43" i="19"/>
  <c r="D47" i="19" s="1"/>
  <c r="C43" i="19"/>
  <c r="B43" i="19"/>
  <c r="H40" i="19"/>
  <c r="H41" i="19" s="1"/>
  <c r="G40" i="19"/>
  <c r="G41" i="19" s="1"/>
  <c r="D40" i="19"/>
  <c r="D41" i="19" s="1"/>
  <c r="C40" i="19"/>
  <c r="C41" i="19" s="1"/>
  <c r="G38" i="19"/>
  <c r="D37" i="19"/>
  <c r="C37" i="19"/>
  <c r="D36" i="19"/>
  <c r="C36" i="19"/>
  <c r="B36" i="19"/>
  <c r="G34" i="19"/>
  <c r="L33" i="19"/>
  <c r="H33" i="19"/>
  <c r="I33" i="19" s="1"/>
  <c r="L32" i="19"/>
  <c r="I32" i="19"/>
  <c r="L31" i="19"/>
  <c r="I31" i="19"/>
  <c r="L30" i="19"/>
  <c r="H30" i="19"/>
  <c r="I30" i="19" s="1"/>
  <c r="D28" i="19"/>
  <c r="C28" i="19"/>
  <c r="B28" i="19"/>
  <c r="D27" i="19"/>
  <c r="C27" i="19"/>
  <c r="B27" i="19"/>
  <c r="D26" i="19"/>
  <c r="C26" i="19"/>
  <c r="D25" i="19"/>
  <c r="C25" i="19"/>
  <c r="B25" i="19"/>
  <c r="D24" i="19"/>
  <c r="C24" i="19"/>
  <c r="B24" i="19"/>
  <c r="D23" i="19"/>
  <c r="C23" i="19"/>
  <c r="B23" i="19"/>
  <c r="G21" i="19"/>
  <c r="K20" i="19"/>
  <c r="L20" i="19" s="1"/>
  <c r="L21" i="19" s="1"/>
  <c r="D20" i="19"/>
  <c r="D21" i="19" s="1"/>
  <c r="C20" i="19"/>
  <c r="C21" i="19" s="1"/>
  <c r="B20" i="19"/>
  <c r="G18" i="19"/>
  <c r="H17" i="19"/>
  <c r="L17" i="19" s="1"/>
  <c r="D17" i="19"/>
  <c r="C17" i="19"/>
  <c r="B17" i="19"/>
  <c r="D16" i="19"/>
  <c r="C16" i="19"/>
  <c r="B16" i="19"/>
  <c r="L15" i="19"/>
  <c r="H15" i="19"/>
  <c r="D15" i="19"/>
  <c r="C15" i="19"/>
  <c r="B15" i="19"/>
  <c r="D14" i="19"/>
  <c r="C14" i="19"/>
  <c r="I13" i="19"/>
  <c r="D13" i="19"/>
  <c r="C13" i="19"/>
  <c r="B13" i="19"/>
  <c r="H12" i="19"/>
  <c r="I12" i="19" s="1"/>
  <c r="D12" i="19"/>
  <c r="C12" i="19"/>
  <c r="B12" i="19"/>
  <c r="G10" i="19"/>
  <c r="D9" i="19"/>
  <c r="C9" i="19"/>
  <c r="B9" i="19"/>
  <c r="D7" i="19"/>
  <c r="C7" i="19"/>
  <c r="D10" i="19" l="1"/>
  <c r="E13" i="19"/>
  <c r="E17" i="19"/>
  <c r="E24" i="19"/>
  <c r="E27" i="19"/>
  <c r="K40" i="19"/>
  <c r="L40" i="19" s="1"/>
  <c r="L41" i="19" s="1"/>
  <c r="C38" i="19"/>
  <c r="E26" i="19"/>
  <c r="D38" i="19"/>
  <c r="E37" i="19"/>
  <c r="E12" i="19"/>
  <c r="E14" i="19"/>
  <c r="E15" i="19"/>
  <c r="E28" i="19"/>
  <c r="E43" i="19"/>
  <c r="E47" i="19" s="1"/>
  <c r="E16" i="19"/>
  <c r="C34" i="19"/>
  <c r="E25" i="19"/>
  <c r="G57" i="19"/>
  <c r="D18" i="19"/>
  <c r="E7" i="19"/>
  <c r="E9" i="19"/>
  <c r="D34" i="19"/>
  <c r="K7" i="19"/>
  <c r="L7" i="19" s="1"/>
  <c r="K12" i="19"/>
  <c r="L12" i="19" s="1"/>
  <c r="C18" i="19"/>
  <c r="E23" i="19"/>
  <c r="E36" i="19"/>
  <c r="I40" i="19"/>
  <c r="I41" i="19" s="1"/>
  <c r="I43" i="19"/>
  <c r="I47" i="19" s="1"/>
  <c r="C10" i="19"/>
  <c r="K13" i="19"/>
  <c r="L13" i="19" s="1"/>
  <c r="E20" i="19"/>
  <c r="E21" i="19" s="1"/>
  <c r="E40" i="19"/>
  <c r="E41" i="19" s="1"/>
  <c r="C47" i="19"/>
  <c r="E52" i="19"/>
  <c r="E53" i="19" s="1"/>
  <c r="E38" i="19" l="1"/>
  <c r="D57" i="19"/>
  <c r="E18" i="19"/>
  <c r="E34" i="19"/>
  <c r="E10" i="19"/>
  <c r="P63" i="19"/>
  <c r="P64" i="19"/>
  <c r="C57" i="19"/>
  <c r="E57" i="19" l="1"/>
  <c r="P65" i="19"/>
  <c r="H29" i="19" l="1"/>
  <c r="I29" i="19" s="1"/>
  <c r="K29" i="19" s="1"/>
  <c r="L29" i="19" s="1"/>
  <c r="H8" i="19" l="1"/>
  <c r="I8" i="19" s="1"/>
  <c r="K8" i="19" l="1"/>
  <c r="L8" i="19" s="1"/>
  <c r="L10" i="19" s="1"/>
  <c r="I10" i="19"/>
  <c r="H16" i="19"/>
  <c r="L16" i="19" s="1"/>
  <c r="H34" i="16" l="1"/>
  <c r="H9" i="11" l="1"/>
  <c r="G5" i="11"/>
  <c r="G6" i="11"/>
  <c r="G7" i="11"/>
  <c r="G8" i="11"/>
  <c r="G9" i="11"/>
  <c r="G4" i="11"/>
  <c r="H30" i="16" l="1"/>
  <c r="H37" i="19"/>
  <c r="H52" i="19"/>
  <c r="I37" i="19" l="1"/>
  <c r="I52" i="19"/>
  <c r="I53" i="19" s="1"/>
  <c r="H53" i="19"/>
  <c r="K37" i="19" l="1"/>
  <c r="L37" i="19" s="1"/>
  <c r="H9" i="19" l="1"/>
  <c r="H23" i="19"/>
  <c r="H26" i="19" l="1"/>
  <c r="I26" i="19" s="1"/>
  <c r="K26" i="19" s="1"/>
  <c r="L26" i="19" s="1"/>
  <c r="H7" i="19"/>
  <c r="H10" i="19" s="1"/>
  <c r="D19" i="2"/>
  <c r="H17" i="16"/>
  <c r="I17" i="16" s="1"/>
  <c r="K17" i="16" s="1"/>
  <c r="K8" i="16"/>
  <c r="K35" i="16"/>
  <c r="K53" i="16"/>
  <c r="K49" i="16"/>
  <c r="K40" i="16"/>
  <c r="G11" i="16"/>
  <c r="G16" i="16"/>
  <c r="G17" i="16"/>
  <c r="G18" i="16"/>
  <c r="G22" i="16"/>
  <c r="G31" i="16"/>
  <c r="G35" i="16" s="1"/>
  <c r="G40" i="16"/>
  <c r="G42" i="16"/>
  <c r="G43" i="16" s="1"/>
  <c r="G45" i="16"/>
  <c r="G46" i="16" s="1"/>
  <c r="G48" i="16"/>
  <c r="G49" i="16" s="1"/>
  <c r="G51" i="16"/>
  <c r="L58" i="16"/>
  <c r="H52" i="15"/>
  <c r="I52" i="15" s="1"/>
  <c r="H51" i="16"/>
  <c r="I51" i="16" s="1"/>
  <c r="D48" i="16"/>
  <c r="D49" i="16" s="1"/>
  <c r="C48" i="16"/>
  <c r="C49" i="16" s="1"/>
  <c r="C45" i="16"/>
  <c r="D45" i="16"/>
  <c r="D46" i="16" s="1"/>
  <c r="B45" i="16"/>
  <c r="H42" i="16"/>
  <c r="D42" i="16"/>
  <c r="D43" i="16" s="1"/>
  <c r="C42" i="16"/>
  <c r="C43" i="16" s="1"/>
  <c r="D38" i="16"/>
  <c r="D39" i="16"/>
  <c r="H39" i="16"/>
  <c r="I39" i="16" s="1"/>
  <c r="C39" i="16"/>
  <c r="C38" i="16"/>
  <c r="B38" i="16"/>
  <c r="H31" i="16"/>
  <c r="I31" i="16" s="1"/>
  <c r="I30" i="16"/>
  <c r="H22" i="6"/>
  <c r="D29" i="16"/>
  <c r="C29" i="16"/>
  <c r="B29" i="16"/>
  <c r="D28" i="16"/>
  <c r="C28" i="16"/>
  <c r="B28" i="16"/>
  <c r="D27" i="16"/>
  <c r="C27" i="16"/>
  <c r="D26" i="16"/>
  <c r="C26" i="16"/>
  <c r="B26" i="16"/>
  <c r="H24" i="19"/>
  <c r="I24" i="19" s="1"/>
  <c r="D25" i="16"/>
  <c r="C25" i="16"/>
  <c r="B25" i="16"/>
  <c r="D24" i="16"/>
  <c r="C24" i="16"/>
  <c r="B24" i="16"/>
  <c r="C21" i="16"/>
  <c r="C22" i="16" s="1"/>
  <c r="D21" i="16"/>
  <c r="D22" i="16" s="1"/>
  <c r="B21" i="16"/>
  <c r="C18" i="16"/>
  <c r="D18" i="16"/>
  <c r="B18" i="16"/>
  <c r="C17" i="16"/>
  <c r="D17" i="16"/>
  <c r="B17" i="16"/>
  <c r="C16" i="16"/>
  <c r="D16" i="16"/>
  <c r="B16" i="16"/>
  <c r="H14" i="19"/>
  <c r="D15" i="16"/>
  <c r="C15" i="16"/>
  <c r="D14" i="16"/>
  <c r="C14" i="16"/>
  <c r="B14" i="16"/>
  <c r="H16" i="6"/>
  <c r="D13" i="16"/>
  <c r="C13" i="16"/>
  <c r="B13" i="16"/>
  <c r="D10" i="16"/>
  <c r="C10" i="16"/>
  <c r="B10" i="16"/>
  <c r="I8" i="16"/>
  <c r="D8" i="16"/>
  <c r="C8" i="16"/>
  <c r="B8" i="16"/>
  <c r="D7" i="16"/>
  <c r="C7" i="16"/>
  <c r="L59" i="15"/>
  <c r="K50" i="15"/>
  <c r="C49" i="15"/>
  <c r="D49" i="15"/>
  <c r="H49" i="15"/>
  <c r="O57" i="15"/>
  <c r="K40" i="15"/>
  <c r="K54" i="15"/>
  <c r="G52" i="15"/>
  <c r="G48" i="15"/>
  <c r="G50" i="15" s="1"/>
  <c r="D48" i="15"/>
  <c r="C48" i="15"/>
  <c r="G45" i="15"/>
  <c r="G46" i="15" s="1"/>
  <c r="D45" i="15"/>
  <c r="D46" i="15" s="1"/>
  <c r="C45" i="15"/>
  <c r="C46" i="15" s="1"/>
  <c r="B45" i="15"/>
  <c r="G42" i="15"/>
  <c r="G43" i="15" s="1"/>
  <c r="D42" i="15"/>
  <c r="D43" i="15" s="1"/>
  <c r="C42" i="15"/>
  <c r="C43" i="15" s="1"/>
  <c r="G40" i="15"/>
  <c r="D39" i="15"/>
  <c r="C39" i="15"/>
  <c r="D38" i="15"/>
  <c r="C38" i="15"/>
  <c r="B38" i="15"/>
  <c r="H31" i="15"/>
  <c r="I31" i="15" s="1"/>
  <c r="G31" i="15"/>
  <c r="G35" i="15" s="1"/>
  <c r="H30" i="15"/>
  <c r="I30" i="15" s="1"/>
  <c r="D29" i="15"/>
  <c r="C29" i="15"/>
  <c r="B29" i="15"/>
  <c r="D28" i="15"/>
  <c r="C28" i="15"/>
  <c r="B28" i="15"/>
  <c r="D27" i="15"/>
  <c r="C27" i="15"/>
  <c r="D26" i="15"/>
  <c r="C26" i="15"/>
  <c r="B26" i="15"/>
  <c r="D25" i="15"/>
  <c r="C25" i="15"/>
  <c r="B25" i="15"/>
  <c r="D24" i="15"/>
  <c r="C24" i="15"/>
  <c r="B24" i="15"/>
  <c r="G22" i="15"/>
  <c r="D21" i="15"/>
  <c r="D22" i="15" s="1"/>
  <c r="C21" i="15"/>
  <c r="C22" i="15" s="1"/>
  <c r="B21" i="15"/>
  <c r="G18" i="15"/>
  <c r="D18" i="15"/>
  <c r="C18" i="15"/>
  <c r="B18" i="15"/>
  <c r="G17" i="15"/>
  <c r="D17" i="15"/>
  <c r="C17" i="15"/>
  <c r="B17" i="15"/>
  <c r="G16" i="15"/>
  <c r="D16" i="15"/>
  <c r="C16" i="15"/>
  <c r="B16" i="15"/>
  <c r="D15" i="15"/>
  <c r="C15" i="15"/>
  <c r="D14" i="15"/>
  <c r="C14" i="15"/>
  <c r="B14" i="15"/>
  <c r="D13" i="15"/>
  <c r="C13" i="15"/>
  <c r="B13" i="15"/>
  <c r="G11" i="15"/>
  <c r="D10" i="15"/>
  <c r="C10" i="15"/>
  <c r="B10" i="15"/>
  <c r="I8" i="15"/>
  <c r="K8" i="15" s="1"/>
  <c r="D8" i="15"/>
  <c r="C8" i="15"/>
  <c r="B8" i="15"/>
  <c r="D7" i="15"/>
  <c r="C7" i="15"/>
  <c r="E29" i="11"/>
  <c r="H17" i="6"/>
  <c r="H28" i="6"/>
  <c r="G49" i="6"/>
  <c r="D46" i="6"/>
  <c r="C46" i="6"/>
  <c r="B46" i="6"/>
  <c r="G45" i="6"/>
  <c r="G47" i="6" s="1"/>
  <c r="D45" i="6"/>
  <c r="C45" i="6"/>
  <c r="K43" i="6"/>
  <c r="G42" i="6"/>
  <c r="G43" i="6" s="1"/>
  <c r="D42" i="6"/>
  <c r="D43" i="6" s="1"/>
  <c r="C42" i="6"/>
  <c r="C43" i="6" s="1"/>
  <c r="B42" i="6"/>
  <c r="K40" i="6"/>
  <c r="G39" i="6"/>
  <c r="G40" i="6" s="1"/>
  <c r="D39" i="6"/>
  <c r="D40" i="6" s="1"/>
  <c r="C39" i="6"/>
  <c r="G36" i="6"/>
  <c r="D36" i="6"/>
  <c r="C36" i="6"/>
  <c r="G35" i="6"/>
  <c r="D35" i="6"/>
  <c r="C35" i="6"/>
  <c r="B35" i="6"/>
  <c r="G32" i="6"/>
  <c r="K32" i="6" s="1"/>
  <c r="D30" i="6"/>
  <c r="C30" i="6"/>
  <c r="B30" i="6"/>
  <c r="G29" i="6"/>
  <c r="D29" i="6"/>
  <c r="C29" i="6"/>
  <c r="B29" i="6"/>
  <c r="G28" i="6"/>
  <c r="K28" i="6" s="1"/>
  <c r="D28" i="6"/>
  <c r="C28" i="6"/>
  <c r="G27" i="6"/>
  <c r="K27" i="6" s="1"/>
  <c r="D27" i="6"/>
  <c r="C27" i="6"/>
  <c r="B27" i="6"/>
  <c r="G26" i="6"/>
  <c r="D26" i="6"/>
  <c r="C26" i="6"/>
  <c r="B26" i="6"/>
  <c r="K25" i="6"/>
  <c r="G25" i="6"/>
  <c r="D25" i="6"/>
  <c r="C25" i="6"/>
  <c r="B25" i="6"/>
  <c r="G22" i="6"/>
  <c r="I22" i="6" s="1"/>
  <c r="G21" i="6"/>
  <c r="K21" i="6" s="1"/>
  <c r="D21" i="6"/>
  <c r="D23" i="6" s="1"/>
  <c r="C21" i="6"/>
  <c r="C23" i="6" s="1"/>
  <c r="B21" i="6"/>
  <c r="G18" i="6"/>
  <c r="I18" i="6" s="1"/>
  <c r="D18" i="6"/>
  <c r="C18" i="6"/>
  <c r="B18" i="6"/>
  <c r="G17" i="6"/>
  <c r="I17" i="6" s="1"/>
  <c r="D17" i="6"/>
  <c r="C17" i="6"/>
  <c r="B17" i="6"/>
  <c r="G16" i="6"/>
  <c r="K16" i="6" s="1"/>
  <c r="D16" i="6"/>
  <c r="C16" i="6"/>
  <c r="B16" i="6"/>
  <c r="G15" i="6"/>
  <c r="K15" i="6" s="1"/>
  <c r="D15" i="6"/>
  <c r="C15" i="6"/>
  <c r="G14" i="6"/>
  <c r="K14" i="6" s="1"/>
  <c r="D14" i="6"/>
  <c r="C14" i="6"/>
  <c r="B14" i="6"/>
  <c r="G13" i="6"/>
  <c r="D13" i="6"/>
  <c r="C13" i="6"/>
  <c r="B13" i="6"/>
  <c r="G10" i="6"/>
  <c r="D10" i="6"/>
  <c r="C10" i="6"/>
  <c r="B10" i="6"/>
  <c r="G8" i="6"/>
  <c r="D8" i="6"/>
  <c r="C8" i="6"/>
  <c r="B8" i="6"/>
  <c r="G7" i="6"/>
  <c r="D7" i="6"/>
  <c r="C7" i="6"/>
  <c r="K55" i="6"/>
  <c r="K56" i="6" s="1"/>
  <c r="F5" i="8"/>
  <c r="F8" i="8"/>
  <c r="I12" i="8"/>
  <c r="H8" i="6"/>
  <c r="H10" i="6"/>
  <c r="I10" i="6" s="1"/>
  <c r="K10" i="6" s="1"/>
  <c r="H7" i="6"/>
  <c r="D47" i="6" l="1"/>
  <c r="I14" i="19"/>
  <c r="H18" i="19"/>
  <c r="G19" i="15"/>
  <c r="G56" i="15" s="1"/>
  <c r="H25" i="19"/>
  <c r="I25" i="19" s="1"/>
  <c r="K25" i="19" s="1"/>
  <c r="L25" i="19" s="1"/>
  <c r="L34" i="19" s="1"/>
  <c r="H26" i="16"/>
  <c r="I26" i="16" s="1"/>
  <c r="D14" i="5"/>
  <c r="E27" i="6"/>
  <c r="C50" i="15"/>
  <c r="E15" i="15"/>
  <c r="H15" i="15"/>
  <c r="I15" i="15" s="1"/>
  <c r="H14" i="16"/>
  <c r="I14" i="16" s="1"/>
  <c r="H14" i="6"/>
  <c r="I14" i="6" s="1"/>
  <c r="H14" i="15"/>
  <c r="I14" i="15" s="1"/>
  <c r="H48" i="15"/>
  <c r="I48" i="15" s="1"/>
  <c r="H48" i="16"/>
  <c r="I48" i="16" s="1"/>
  <c r="I49" i="16" s="1"/>
  <c r="H13" i="16"/>
  <c r="I13" i="16" s="1"/>
  <c r="H13" i="15"/>
  <c r="I13" i="15" s="1"/>
  <c r="H39" i="15"/>
  <c r="I39" i="15" s="1"/>
  <c r="E27" i="15"/>
  <c r="H26" i="6"/>
  <c r="I26" i="6" s="1"/>
  <c r="H25" i="15"/>
  <c r="I25" i="15" s="1"/>
  <c r="H11" i="6"/>
  <c r="E18" i="15"/>
  <c r="I27" i="6"/>
  <c r="E25" i="15"/>
  <c r="E26" i="15"/>
  <c r="E29" i="15"/>
  <c r="E39" i="6"/>
  <c r="E40" i="6" s="1"/>
  <c r="E13" i="16"/>
  <c r="E17" i="16"/>
  <c r="E24" i="16"/>
  <c r="E25" i="16"/>
  <c r="E29" i="16"/>
  <c r="D40" i="15"/>
  <c r="E36" i="6"/>
  <c r="E21" i="16"/>
  <c r="E22" i="16" s="1"/>
  <c r="E27" i="16"/>
  <c r="E39" i="16"/>
  <c r="K17" i="6"/>
  <c r="I15" i="6"/>
  <c r="D11" i="15"/>
  <c r="E10" i="15"/>
  <c r="E13" i="15"/>
  <c r="E14" i="15"/>
  <c r="E7" i="16"/>
  <c r="G19" i="6"/>
  <c r="K45" i="6"/>
  <c r="K47" i="6" s="1"/>
  <c r="E8" i="6"/>
  <c r="E10" i="6"/>
  <c r="D19" i="6"/>
  <c r="E28" i="6"/>
  <c r="D37" i="6"/>
  <c r="E48" i="15"/>
  <c r="E10" i="16"/>
  <c r="E14" i="16"/>
  <c r="I16" i="6"/>
  <c r="E24" i="15"/>
  <c r="E28" i="15"/>
  <c r="D40" i="16"/>
  <c r="I32" i="6"/>
  <c r="E49" i="15"/>
  <c r="E15" i="16"/>
  <c r="E16" i="16"/>
  <c r="E28" i="16"/>
  <c r="E45" i="16"/>
  <c r="E46" i="16" s="1"/>
  <c r="G23" i="6"/>
  <c r="E16" i="6"/>
  <c r="E18" i="6"/>
  <c r="C33" i="6"/>
  <c r="E8" i="15"/>
  <c r="D19" i="15"/>
  <c r="E17" i="15"/>
  <c r="E39" i="15"/>
  <c r="E45" i="6"/>
  <c r="E45" i="15"/>
  <c r="E46" i="15" s="1"/>
  <c r="C19" i="15"/>
  <c r="D35" i="15"/>
  <c r="E8" i="16"/>
  <c r="E18" i="16"/>
  <c r="E26" i="16"/>
  <c r="H17" i="15"/>
  <c r="I17" i="15" s="1"/>
  <c r="K17" i="15" s="1"/>
  <c r="H25" i="16"/>
  <c r="I25" i="16" s="1"/>
  <c r="H16" i="16"/>
  <c r="I16" i="16" s="1"/>
  <c r="K16" i="16" s="1"/>
  <c r="H18" i="6"/>
  <c r="H42" i="15"/>
  <c r="D33" i="6"/>
  <c r="C40" i="15"/>
  <c r="D19" i="16"/>
  <c r="C11" i="6"/>
  <c r="K18" i="6"/>
  <c r="G37" i="6"/>
  <c r="C40" i="6"/>
  <c r="E42" i="6"/>
  <c r="E43" i="6" s="1"/>
  <c r="C46" i="16"/>
  <c r="G19" i="16"/>
  <c r="G55" i="16" s="1"/>
  <c r="N57" i="16" s="1"/>
  <c r="G11" i="6"/>
  <c r="D11" i="6"/>
  <c r="E13" i="6"/>
  <c r="E14" i="6"/>
  <c r="E15" i="6"/>
  <c r="C19" i="6"/>
  <c r="E17" i="6"/>
  <c r="K22" i="6"/>
  <c r="K23" i="6" s="1"/>
  <c r="E26" i="6"/>
  <c r="E29" i="6"/>
  <c r="E30" i="6"/>
  <c r="C37" i="6"/>
  <c r="C47" i="6"/>
  <c r="C35" i="15"/>
  <c r="E21" i="15"/>
  <c r="E22" i="15" s="1"/>
  <c r="C11" i="15"/>
  <c r="D50" i="15"/>
  <c r="C11" i="16"/>
  <c r="D11" i="16"/>
  <c r="C19" i="16"/>
  <c r="D35" i="16"/>
  <c r="H16" i="15"/>
  <c r="I16" i="15" s="1"/>
  <c r="K16" i="15" s="1"/>
  <c r="H15" i="6"/>
  <c r="H15" i="16"/>
  <c r="I15" i="16" s="1"/>
  <c r="I7" i="6"/>
  <c r="K7" i="6" s="1"/>
  <c r="H42" i="6"/>
  <c r="H43" i="6" s="1"/>
  <c r="H9" i="15"/>
  <c r="I9" i="15" s="1"/>
  <c r="H9" i="16"/>
  <c r="I9" i="16" s="1"/>
  <c r="H27" i="6"/>
  <c r="I49" i="15"/>
  <c r="H43" i="16"/>
  <c r="I42" i="16"/>
  <c r="I43" i="16" s="1"/>
  <c r="H18" i="15"/>
  <c r="I18" i="15" s="1"/>
  <c r="K18" i="15" s="1"/>
  <c r="H13" i="6"/>
  <c r="I13" i="6" s="1"/>
  <c r="H20" i="19"/>
  <c r="H49" i="6"/>
  <c r="I49" i="6" s="1"/>
  <c r="H18" i="16"/>
  <c r="I18" i="16" s="1"/>
  <c r="K18" i="16" s="1"/>
  <c r="E42" i="15"/>
  <c r="E43" i="15" s="1"/>
  <c r="C35" i="16"/>
  <c r="C40" i="16"/>
  <c r="E35" i="6"/>
  <c r="E25" i="6"/>
  <c r="G33" i="6"/>
  <c r="E46" i="6"/>
  <c r="E38" i="15"/>
  <c r="E7" i="15"/>
  <c r="E16" i="15"/>
  <c r="E38" i="16"/>
  <c r="E48" i="16"/>
  <c r="E49" i="16" s="1"/>
  <c r="E42" i="16"/>
  <c r="E43" i="16" s="1"/>
  <c r="E21" i="6"/>
  <c r="E23" i="6" s="1"/>
  <c r="I28" i="6"/>
  <c r="E7" i="6"/>
  <c r="H53" i="6"/>
  <c r="H26" i="15"/>
  <c r="F5" i="5" l="1"/>
  <c r="H25" i="6"/>
  <c r="I25" i="6" s="1"/>
  <c r="H28" i="19"/>
  <c r="I28" i="19" s="1"/>
  <c r="K28" i="19" s="1"/>
  <c r="H38" i="15"/>
  <c r="H40" i="15" s="1"/>
  <c r="H36" i="19"/>
  <c r="K14" i="19"/>
  <c r="L14" i="19" s="1"/>
  <c r="L18" i="19" s="1"/>
  <c r="I18" i="19"/>
  <c r="H21" i="19"/>
  <c r="I20" i="19"/>
  <c r="I21" i="19" s="1"/>
  <c r="H27" i="19"/>
  <c r="H30" i="6"/>
  <c r="I30" i="6" s="1"/>
  <c r="I50" i="15"/>
  <c r="H29" i="15"/>
  <c r="I29" i="15" s="1"/>
  <c r="H50" i="15"/>
  <c r="H39" i="6"/>
  <c r="I39" i="6" s="1"/>
  <c r="I40" i="6" s="1"/>
  <c r="H45" i="6"/>
  <c r="I45" i="6" s="1"/>
  <c r="I47" i="6" s="1"/>
  <c r="H49" i="16"/>
  <c r="H29" i="16"/>
  <c r="I29" i="16" s="1"/>
  <c r="K19" i="16"/>
  <c r="I42" i="6"/>
  <c r="I43" i="6" s="1"/>
  <c r="E35" i="16"/>
  <c r="E40" i="16"/>
  <c r="E11" i="16"/>
  <c r="C56" i="15"/>
  <c r="E19" i="16"/>
  <c r="E11" i="6"/>
  <c r="E37" i="6"/>
  <c r="D56" i="15"/>
  <c r="E47" i="6"/>
  <c r="D55" i="16"/>
  <c r="E11" i="15"/>
  <c r="D51" i="6"/>
  <c r="E35" i="15"/>
  <c r="E50" i="15"/>
  <c r="E19" i="15"/>
  <c r="I19" i="6"/>
  <c r="G51" i="6"/>
  <c r="K53" i="6" s="1"/>
  <c r="E40" i="15"/>
  <c r="H24" i="15"/>
  <c r="I24" i="15" s="1"/>
  <c r="I42" i="15"/>
  <c r="I43" i="15" s="1"/>
  <c r="H43" i="15"/>
  <c r="K19" i="15"/>
  <c r="C55" i="16"/>
  <c r="E19" i="6"/>
  <c r="E33" i="6"/>
  <c r="C51" i="6"/>
  <c r="I8" i="6"/>
  <c r="I11" i="6" s="1"/>
  <c r="H19" i="15"/>
  <c r="H35" i="6"/>
  <c r="I35" i="6" s="1"/>
  <c r="K35" i="6" s="1"/>
  <c r="H24" i="16"/>
  <c r="H53" i="15"/>
  <c r="I53" i="15" s="1"/>
  <c r="H52" i="16"/>
  <c r="I52" i="16" s="1"/>
  <c r="H38" i="16"/>
  <c r="I38" i="16" s="1"/>
  <c r="I40" i="16" s="1"/>
  <c r="I19" i="15"/>
  <c r="H10" i="16"/>
  <c r="I10" i="16" s="1"/>
  <c r="K10" i="16" s="1"/>
  <c r="K11" i="16" s="1"/>
  <c r="H46" i="6"/>
  <c r="H10" i="15"/>
  <c r="I10" i="15" s="1"/>
  <c r="K10" i="15" s="1"/>
  <c r="H21" i="15"/>
  <c r="H21" i="6"/>
  <c r="H21" i="16"/>
  <c r="H27" i="16"/>
  <c r="I27" i="16" s="1"/>
  <c r="H27" i="15"/>
  <c r="I27" i="15" s="1"/>
  <c r="H19" i="16"/>
  <c r="H45" i="16"/>
  <c r="H45" i="15"/>
  <c r="H28" i="15"/>
  <c r="I28" i="15" s="1"/>
  <c r="H29" i="6"/>
  <c r="H28" i="16"/>
  <c r="I28" i="16" s="1"/>
  <c r="H7" i="15"/>
  <c r="I7" i="15" s="1"/>
  <c r="K7" i="15" s="1"/>
  <c r="H36" i="6"/>
  <c r="I36" i="6" s="1"/>
  <c r="K36" i="6" s="1"/>
  <c r="H7" i="16"/>
  <c r="I19" i="16"/>
  <c r="K13" i="6"/>
  <c r="K19" i="6" s="1"/>
  <c r="H19" i="6"/>
  <c r="I26" i="15"/>
  <c r="I38" i="15" l="1"/>
  <c r="I40" i="15" s="1"/>
  <c r="I36" i="19"/>
  <c r="H38" i="19"/>
  <c r="I27" i="19"/>
  <c r="H34" i="19"/>
  <c r="I24" i="16"/>
  <c r="I35" i="16" s="1"/>
  <c r="H35" i="16"/>
  <c r="K37" i="6"/>
  <c r="H40" i="6"/>
  <c r="H47" i="6"/>
  <c r="E55" i="16"/>
  <c r="K55" i="16"/>
  <c r="O56" i="16" s="1"/>
  <c r="E56" i="15"/>
  <c r="E51" i="6"/>
  <c r="H40" i="16"/>
  <c r="I11" i="15"/>
  <c r="H37" i="6"/>
  <c r="K8" i="6"/>
  <c r="K11" i="6" s="1"/>
  <c r="I37" i="6"/>
  <c r="I45" i="15"/>
  <c r="I46" i="15" s="1"/>
  <c r="H46" i="15"/>
  <c r="I21" i="16"/>
  <c r="I22" i="16" s="1"/>
  <c r="H22" i="16"/>
  <c r="K11" i="15"/>
  <c r="I45" i="16"/>
  <c r="I46" i="16" s="1"/>
  <c r="H46" i="16"/>
  <c r="H23" i="6"/>
  <c r="I21" i="6"/>
  <c r="I23" i="6" s="1"/>
  <c r="H35" i="15"/>
  <c r="H11" i="15"/>
  <c r="I7" i="16"/>
  <c r="I11" i="16" s="1"/>
  <c r="H11" i="16"/>
  <c r="I29" i="6"/>
  <c r="H33" i="6"/>
  <c r="H22" i="15"/>
  <c r="I21" i="15"/>
  <c r="I22" i="15" s="1"/>
  <c r="K26" i="15"/>
  <c r="K35" i="15" s="1"/>
  <c r="I35" i="15"/>
  <c r="H57" i="19" l="1"/>
  <c r="H60" i="19" s="1"/>
  <c r="K36" i="19"/>
  <c r="L36" i="19" s="1"/>
  <c r="L38" i="19" s="1"/>
  <c r="L58" i="19" s="1"/>
  <c r="I38" i="19"/>
  <c r="I34" i="19"/>
  <c r="K27" i="19"/>
  <c r="H55" i="16"/>
  <c r="I56" i="15"/>
  <c r="I55" i="16"/>
  <c r="H51" i="6"/>
  <c r="H54" i="6" s="1"/>
  <c r="K56" i="15"/>
  <c r="K29" i="6"/>
  <c r="K33" i="6" s="1"/>
  <c r="K51" i="6" s="1"/>
  <c r="I33" i="6"/>
  <c r="I51" i="6" s="1"/>
  <c r="H56" i="15"/>
  <c r="B23" i="5" l="1"/>
  <c r="C25" i="5" s="1"/>
  <c r="D23" i="2"/>
  <c r="I57" i="19"/>
  <c r="K54" i="6"/>
  <c r="K58" i="6"/>
  <c r="L44" i="19"/>
  <c r="AM81" i="24" l="1"/>
  <c r="U84" i="24" s="1"/>
  <c r="C17" i="5" s="1"/>
  <c r="H81" i="24" l="1"/>
  <c r="E18" i="5"/>
  <c r="F6" i="5" l="1"/>
  <c r="F7" i="5" s="1"/>
  <c r="D18" i="5"/>
  <c r="D19" i="5" s="1"/>
  <c r="I2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</author>
    <author>Rob Peck</author>
    <author>tc={EB05EA88-78E3-4D29-91B2-A235DF6F6A3D}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Julia:</t>
        </r>
        <r>
          <rPr>
            <sz val="9"/>
            <color indexed="81"/>
            <rFont val="Tahoma"/>
            <family val="2"/>
          </rPr>
          <t xml:space="preserve">
Date payment/reciept cleared from account</t>
        </r>
      </text>
    </comment>
    <comment ref="C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Julia:</t>
        </r>
        <r>
          <rPr>
            <sz val="9"/>
            <color indexed="81"/>
            <rFont val="Tahoma"/>
            <family val="2"/>
          </rPr>
          <t xml:space="preserve">
Description of deposit or payment
</t>
        </r>
      </text>
    </comment>
    <comment ref="W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Julia:</t>
        </r>
        <r>
          <rPr>
            <sz val="9"/>
            <color indexed="81"/>
            <rFont val="Tahoma"/>
            <family val="2"/>
          </rPr>
          <t xml:space="preserve">
Claimed twice a year</t>
        </r>
      </text>
    </comment>
    <comment ref="A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Julia:</t>
        </r>
        <r>
          <rPr>
            <sz val="9"/>
            <color indexed="81"/>
            <rFont val="Tahoma"/>
            <family val="2"/>
          </rPr>
          <t xml:space="preserve">
Date payment made to account
</t>
        </r>
      </text>
    </comment>
    <comment ref="T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Julia:</t>
        </r>
        <r>
          <rPr>
            <sz val="9"/>
            <color indexed="81"/>
            <rFont val="Tahoma"/>
            <family val="2"/>
          </rPr>
          <t xml:space="preserve">
To aid reconciliation
</t>
        </r>
      </text>
    </comment>
    <comment ref="A6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Julia:</t>
        </r>
        <r>
          <rPr>
            <sz val="9"/>
            <color indexed="81"/>
            <rFont val="Tahoma"/>
            <family val="2"/>
          </rPr>
          <t xml:space="preserve">
Monthly and year end income
</t>
        </r>
      </text>
    </comment>
    <comment ref="F6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Julia:</t>
        </r>
        <r>
          <rPr>
            <sz val="9"/>
            <color indexed="81"/>
            <rFont val="Tahoma"/>
            <family val="2"/>
          </rPr>
          <t xml:space="preserve">
Monthly total</t>
        </r>
      </text>
    </comment>
    <comment ref="T6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Julia:</t>
        </r>
        <r>
          <rPr>
            <sz val="9"/>
            <color indexed="81"/>
            <rFont val="Tahoma"/>
            <family val="2"/>
          </rPr>
          <t xml:space="preserve">
Yearly total</t>
        </r>
      </text>
    </comment>
    <comment ref="F67" authorId="1" shapeId="0" xr:uid="{14B5D62A-D948-4FCD-A32C-2E2520141BDE}">
      <text>
        <r>
          <rPr>
            <b/>
            <sz val="9"/>
            <color indexed="81"/>
            <rFont val="Tahoma"/>
            <family val="2"/>
          </rPr>
          <t>Rob Peck:</t>
        </r>
        <r>
          <rPr>
            <sz val="9"/>
            <color indexed="81"/>
            <rFont val="Tahoma"/>
            <family val="2"/>
          </rPr>
          <t xml:space="preserve">
Accounted for in 22/23
</t>
        </r>
      </text>
    </comment>
    <comment ref="D68" authorId="2" shapeId="0" xr:uid="{EB05EA88-78E3-4D29-91B2-A235DF6F6A3D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UNCLEARED IN 2020 - 21</t>
      </text>
    </comment>
    <comment ref="F69" authorId="1" shapeId="0" xr:uid="{5D8EA851-5779-4610-9FF6-8ABECB5ECC73}">
      <text>
        <r>
          <rPr>
            <b/>
            <sz val="9"/>
            <color indexed="81"/>
            <rFont val="Tahoma"/>
            <family val="2"/>
          </rPr>
          <t>Rob Peck:</t>
        </r>
        <r>
          <rPr>
            <sz val="9"/>
            <color indexed="81"/>
            <rFont val="Tahoma"/>
            <family val="2"/>
          </rPr>
          <t xml:space="preserve">
Accounted for in 22/23
</t>
        </r>
      </text>
    </comment>
    <comment ref="F75" authorId="1" shapeId="0" xr:uid="{AAA80BCC-FAB5-49DD-811C-AAB3D0887141}">
      <text>
        <r>
          <rPr>
            <b/>
            <sz val="9"/>
            <color indexed="81"/>
            <rFont val="Tahoma"/>
            <family val="2"/>
          </rPr>
          <t>Rob Peck:</t>
        </r>
        <r>
          <rPr>
            <sz val="9"/>
            <color indexed="81"/>
            <rFont val="Tahoma"/>
            <family val="2"/>
          </rPr>
          <t xml:space="preserve">
Accounted for in 22/23
</t>
        </r>
      </text>
    </comment>
    <comment ref="A142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Julia:</t>
        </r>
        <r>
          <rPr>
            <sz val="9"/>
            <color indexed="81"/>
            <rFont val="Tahoma"/>
            <family val="2"/>
          </rPr>
          <t xml:space="preserve">
Monthly and year end expenditure</t>
        </r>
      </text>
    </comment>
    <comment ref="E14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Julia:</t>
        </r>
        <r>
          <rPr>
            <sz val="9"/>
            <color indexed="81"/>
            <rFont val="Tahoma"/>
            <family val="2"/>
          </rPr>
          <t xml:space="preserve">
Start balace from bank account</t>
        </r>
      </text>
    </comment>
    <comment ref="F14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Julia:</t>
        </r>
        <r>
          <rPr>
            <sz val="9"/>
            <color indexed="81"/>
            <rFont val="Tahoma"/>
            <family val="2"/>
          </rPr>
          <t xml:space="preserve">
Reconciled against bank statement each month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</author>
  </authors>
  <commentList>
    <comment ref="J4" authorId="0" shapeId="0" xr:uid="{5BC3E088-547B-4F74-89D4-46877BC560E1}">
      <text>
        <r>
          <rPr>
            <b/>
            <sz val="9"/>
            <color indexed="81"/>
            <rFont val="Tahoma"/>
            <family val="2"/>
          </rPr>
          <t>Julia:</t>
        </r>
        <r>
          <rPr>
            <sz val="9"/>
            <color indexed="81"/>
            <rFont val="Tahoma"/>
            <family val="2"/>
          </rPr>
          <t xml:space="preserve">
Claimed twice a year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 Shelley</author>
  </authors>
  <commentList>
    <comment ref="H4" authorId="0" shapeId="0" xr:uid="{6C01F8D9-17FF-4620-B6DC-870AD350184A}">
      <text>
        <r>
          <rPr>
            <b/>
            <sz val="9"/>
            <color indexed="81"/>
            <rFont val="Tahoma"/>
            <family val="2"/>
          </rPr>
          <t>Julia Shelley:</t>
        </r>
        <r>
          <rPr>
            <sz val="9"/>
            <color indexed="81"/>
            <rFont val="Tahoma"/>
            <family val="2"/>
          </rPr>
          <t xml:space="preserve">
As end of November 2020
</t>
        </r>
      </text>
    </comment>
  </commentList>
</comments>
</file>

<file path=xl/sharedStrings.xml><?xml version="1.0" encoding="utf-8"?>
<sst xmlns="http://schemas.openxmlformats.org/spreadsheetml/2006/main" count="1039" uniqueCount="561">
  <si>
    <t>Statement of Income &amp; Expenditure</t>
  </si>
  <si>
    <t>Check columns</t>
  </si>
  <si>
    <t>Box 1 Balances Brought Forward</t>
  </si>
  <si>
    <t>Cash at bank</t>
  </si>
  <si>
    <t>Precept</t>
  </si>
  <si>
    <t>Less Grant</t>
  </si>
  <si>
    <t>Box 2 Precept</t>
  </si>
  <si>
    <t>Income Main Account</t>
  </si>
  <si>
    <t>Income Unity Account</t>
  </si>
  <si>
    <t>Income Savings Account</t>
  </si>
  <si>
    <t>Box 3 Total Other Receipts</t>
  </si>
  <si>
    <t xml:space="preserve">Total </t>
  </si>
  <si>
    <t>Box 4 Staff Costs</t>
  </si>
  <si>
    <t>Box 5 Loan Interest / Capital Repayments</t>
  </si>
  <si>
    <t>Check how interest not paid should be treated</t>
  </si>
  <si>
    <t>Box 6 All Other Payments</t>
  </si>
  <si>
    <t>Removed transfers</t>
  </si>
  <si>
    <t>Box 7 Balance carried forward</t>
  </si>
  <si>
    <t>Main Account Balance at 31 Mar</t>
  </si>
  <si>
    <t>Saving Account Balance at 31 Mar</t>
  </si>
  <si>
    <t>Unity Account</t>
  </si>
  <si>
    <t xml:space="preserve">Box 8 Total Value of Cash </t>
  </si>
  <si>
    <t>Receipts &amp; Payments HSBC Current Account 40-18-39 51234471</t>
  </si>
  <si>
    <t>Statement Date</t>
  </si>
  <si>
    <t>Name</t>
  </si>
  <si>
    <t>Description</t>
  </si>
  <si>
    <t>Cheque Number</t>
  </si>
  <si>
    <t>Uncleared Cheques</t>
  </si>
  <si>
    <t>Total</t>
  </si>
  <si>
    <t>VAT</t>
  </si>
  <si>
    <t>Income from clubs</t>
  </si>
  <si>
    <t>Grants</t>
  </si>
  <si>
    <t>Donation Blackcurrent Field</t>
  </si>
  <si>
    <t>Donation Bmill</t>
  </si>
  <si>
    <t>Donatin Playground</t>
  </si>
  <si>
    <t xml:space="preserve">Other </t>
  </si>
  <si>
    <t>Clerks Pay</t>
  </si>
  <si>
    <t>HMRC</t>
  </si>
  <si>
    <t>Bank Charge</t>
  </si>
  <si>
    <t>Payroll</t>
  </si>
  <si>
    <t>Clerks Expenses/Purchases on PC's behalf</t>
  </si>
  <si>
    <t xml:space="preserve">Insurance </t>
  </si>
  <si>
    <t>Audit Fees internal</t>
  </si>
  <si>
    <t>Audit Fees external</t>
  </si>
  <si>
    <t>Membership and Training</t>
  </si>
  <si>
    <t>Caretaker</t>
  </si>
  <si>
    <t>Equipment purchase</t>
  </si>
  <si>
    <t>Recreation Maintenance</t>
  </si>
  <si>
    <t>Playground Maintenance</t>
  </si>
  <si>
    <t>Mowers</t>
  </si>
  <si>
    <t>Barcombe Mills Rates</t>
  </si>
  <si>
    <t>Barcombe Mills Maintenance</t>
  </si>
  <si>
    <t>Pavilion Maintenance</t>
  </si>
  <si>
    <t>Road Safety</t>
  </si>
  <si>
    <t>WAB</t>
  </si>
  <si>
    <t>PWLB 491409</t>
  </si>
  <si>
    <t>PWLB  482031</t>
  </si>
  <si>
    <t>Contingency</t>
  </si>
  <si>
    <t xml:space="preserve">Grants </t>
  </si>
  <si>
    <t>Pavilion Bills</t>
  </si>
  <si>
    <t>Chairmans Fund</t>
  </si>
  <si>
    <t>Neighbourhood Planning</t>
  </si>
  <si>
    <t>Blackcurrent Field Payments</t>
  </si>
  <si>
    <t>Transfers to Unity Bank Account</t>
  </si>
  <si>
    <t>Check</t>
  </si>
  <si>
    <t>Receipts</t>
  </si>
  <si>
    <t>4.4.23</t>
  </si>
  <si>
    <t>LDC</t>
  </si>
  <si>
    <t>12.4.23</t>
  </si>
  <si>
    <t>Football</t>
  </si>
  <si>
    <t>Hire</t>
  </si>
  <si>
    <t>13.4.23</t>
  </si>
  <si>
    <t>Tennis</t>
  </si>
  <si>
    <t>Rent</t>
  </si>
  <si>
    <t>19.4.23</t>
  </si>
  <si>
    <t>Cricket</t>
  </si>
  <si>
    <t>21.4.23</t>
  </si>
  <si>
    <t>Barcombe School</t>
  </si>
  <si>
    <t>Allotment</t>
  </si>
  <si>
    <t>25.4.23</t>
  </si>
  <si>
    <t>Stoolball</t>
  </si>
  <si>
    <t>CIL</t>
  </si>
  <si>
    <t>28.4.23</t>
  </si>
  <si>
    <t>Art Group</t>
  </si>
  <si>
    <t>2.5.23</t>
  </si>
  <si>
    <t xml:space="preserve">East Sussex </t>
  </si>
  <si>
    <t>Grant 50% fingerpost</t>
  </si>
  <si>
    <t>4.5.26</t>
  </si>
  <si>
    <t>Ayden</t>
  </si>
  <si>
    <t xml:space="preserve">Donation </t>
  </si>
  <si>
    <t>15.5.23</t>
  </si>
  <si>
    <t>12.7.23</t>
  </si>
  <si>
    <t>N&amp;P Crayford</t>
  </si>
  <si>
    <t>Composting Grant</t>
  </si>
  <si>
    <t>1.9.23</t>
  </si>
  <si>
    <t>11.9.23</t>
  </si>
  <si>
    <t>Cheal</t>
  </si>
  <si>
    <t>MacMillians Hire</t>
  </si>
  <si>
    <t>13.10.23</t>
  </si>
  <si>
    <t>Bonfire</t>
  </si>
  <si>
    <t>31.10.23</t>
  </si>
  <si>
    <t>CIL Payment</t>
  </si>
  <si>
    <t>20.12.23</t>
  </si>
  <si>
    <t>2.3.24</t>
  </si>
  <si>
    <t>Scouts</t>
  </si>
  <si>
    <t>22.3.24</t>
  </si>
  <si>
    <t>Total Income</t>
  </si>
  <si>
    <t>Income - precept</t>
  </si>
  <si>
    <t>Income minus precept</t>
  </si>
  <si>
    <t>Payments</t>
  </si>
  <si>
    <t>Osmond</t>
  </si>
  <si>
    <t>Greenkeeping</t>
  </si>
  <si>
    <t>10.4.23</t>
  </si>
  <si>
    <t>HSBC</t>
  </si>
  <si>
    <t>Fees</t>
  </si>
  <si>
    <t>Playsafe</t>
  </si>
  <si>
    <t>Playground equipment</t>
  </si>
  <si>
    <t>9570.4</t>
  </si>
  <si>
    <t>Austin</t>
  </si>
  <si>
    <t>Foster</t>
  </si>
  <si>
    <t>Household contribution</t>
  </si>
  <si>
    <t>Expenses refund</t>
  </si>
  <si>
    <t>Salary</t>
  </si>
  <si>
    <t>Select Building</t>
  </si>
  <si>
    <t>Toilet removal</t>
  </si>
  <si>
    <t>26.4.23</t>
  </si>
  <si>
    <t>Agrifactors</t>
  </si>
  <si>
    <t>Seed</t>
  </si>
  <si>
    <t>120</t>
  </si>
  <si>
    <t>PWL</t>
  </si>
  <si>
    <t>Loan repayment</t>
  </si>
  <si>
    <t>3.5.23</t>
  </si>
  <si>
    <t>Knill james</t>
  </si>
  <si>
    <t>11.5.23</t>
  </si>
  <si>
    <t>Bank charges</t>
  </si>
  <si>
    <t>12.5.23</t>
  </si>
  <si>
    <t>16.5.23</t>
  </si>
  <si>
    <t>Caretaking</t>
  </si>
  <si>
    <t>ESALC</t>
  </si>
  <si>
    <t>Membership</t>
  </si>
  <si>
    <t>17.5.23</t>
  </si>
  <si>
    <t>Broadway</t>
  </si>
  <si>
    <t>Toilet Door</t>
  </si>
  <si>
    <t>18.5.23</t>
  </si>
  <si>
    <t>Nicholson</t>
  </si>
  <si>
    <t xml:space="preserve">Boardwalk Materials </t>
  </si>
  <si>
    <t>Andrews</t>
  </si>
  <si>
    <t>Fingerpost (replacement cheque)</t>
  </si>
  <si>
    <t>24.5.23</t>
  </si>
  <si>
    <t>Rates Pavilion</t>
  </si>
  <si>
    <t xml:space="preserve">Rates Barcombe Mills </t>
  </si>
  <si>
    <t>6.6.23</t>
  </si>
  <si>
    <t>Widgery</t>
  </si>
  <si>
    <t>Mowing</t>
  </si>
  <si>
    <t>7.6.23</t>
  </si>
  <si>
    <t>9.6.23</t>
  </si>
  <si>
    <t>10.6.23</t>
  </si>
  <si>
    <t>14.6.23</t>
  </si>
  <si>
    <t>20.6.23</t>
  </si>
  <si>
    <t>11.7.23</t>
  </si>
  <si>
    <t>18.7.23</t>
  </si>
  <si>
    <t>19.7.23</t>
  </si>
  <si>
    <t>21.7.23</t>
  </si>
  <si>
    <t>EDF</t>
  </si>
  <si>
    <t>Electricity</t>
  </si>
  <si>
    <t>28.7.23</t>
  </si>
  <si>
    <t>Church</t>
  </si>
  <si>
    <t>Wiring</t>
  </si>
  <si>
    <t>Knill James</t>
  </si>
  <si>
    <t>3.8.23</t>
  </si>
  <si>
    <t>EDF refund</t>
  </si>
  <si>
    <t>10.8.23</t>
  </si>
  <si>
    <t>30.8.23</t>
  </si>
  <si>
    <t>Barcombe Landscape</t>
  </si>
  <si>
    <t>10.9.23</t>
  </si>
  <si>
    <t xml:space="preserve">Charges </t>
  </si>
  <si>
    <t>15.9.23</t>
  </si>
  <si>
    <t>Refund hand driers</t>
  </si>
  <si>
    <t>18.9.23</t>
  </si>
  <si>
    <t xml:space="preserve">Sankey </t>
  </si>
  <si>
    <t>Pest control</t>
  </si>
  <si>
    <t>19.9.23</t>
  </si>
  <si>
    <t>Langley</t>
  </si>
  <si>
    <t xml:space="preserve">Cleaning </t>
  </si>
  <si>
    <t>21.9.23</t>
  </si>
  <si>
    <t>Fuel</t>
  </si>
  <si>
    <t>25.9.23</t>
  </si>
  <si>
    <t>Gallagher</t>
  </si>
  <si>
    <t>27.9.23</t>
  </si>
  <si>
    <t>Barcombe Forestry</t>
  </si>
  <si>
    <t>Treeworks</t>
  </si>
  <si>
    <t>29.9.23</t>
  </si>
  <si>
    <t>3.10.23</t>
  </si>
  <si>
    <t>10.10.23</t>
  </si>
  <si>
    <t>Training</t>
  </si>
  <si>
    <t>11.10.23</t>
  </si>
  <si>
    <t>16.10.23</t>
  </si>
  <si>
    <t>18.10.23</t>
  </si>
  <si>
    <t>Peck</t>
  </si>
  <si>
    <t>Internal Audit</t>
  </si>
  <si>
    <t xml:space="preserve">Unity Bank </t>
  </si>
  <si>
    <t>transfer</t>
  </si>
  <si>
    <t>20.10.23</t>
  </si>
  <si>
    <t>Handrier installation</t>
  </si>
  <si>
    <t>23.10.23</t>
  </si>
  <si>
    <t>Chubb</t>
  </si>
  <si>
    <t>Fire extinguisher</t>
  </si>
  <si>
    <t xml:space="preserve">30.10.23 </t>
  </si>
  <si>
    <t>PKF Audit</t>
  </si>
  <si>
    <t>External Audit</t>
  </si>
  <si>
    <t>7.11.23</t>
  </si>
  <si>
    <t>10.11.23</t>
  </si>
  <si>
    <t>1.12.23</t>
  </si>
  <si>
    <t>RBL</t>
  </si>
  <si>
    <t>Wreath</t>
  </si>
  <si>
    <t>11.12.23</t>
  </si>
  <si>
    <t>10.1.23</t>
  </si>
  <si>
    <t>10.1.24</t>
  </si>
  <si>
    <t>15.2.24</t>
  </si>
  <si>
    <t>Transfer</t>
  </si>
  <si>
    <t>26.2.24</t>
  </si>
  <si>
    <t>Path</t>
  </si>
  <si>
    <t>Journal</t>
  </si>
  <si>
    <t>Playgroup</t>
  </si>
  <si>
    <t>Reversal of unbanked cheque</t>
  </si>
  <si>
    <t>12.3.24</t>
  </si>
  <si>
    <t>Total Expenditure</t>
  </si>
  <si>
    <t>Balance at End of Month</t>
  </si>
  <si>
    <t>CHK</t>
  </si>
  <si>
    <t xml:space="preserve"> </t>
  </si>
  <si>
    <t>Receipts &amp; Payments Unity Trust Bank 60-83-01 20469485</t>
  </si>
  <si>
    <t>Imported from Unity</t>
  </si>
  <si>
    <t>Time</t>
  </si>
  <si>
    <t>Reference</t>
  </si>
  <si>
    <t>Amount</t>
  </si>
  <si>
    <t>Balance</t>
  </si>
  <si>
    <t xml:space="preserve">Bank Charges </t>
  </si>
  <si>
    <t>From Main Account</t>
  </si>
  <si>
    <t>Opening balance</t>
  </si>
  <si>
    <t>Service Charge</t>
  </si>
  <si>
    <t>B/P to: Simon Hoole</t>
  </si>
  <si>
    <t>INVOICE 2 BARCOMBE</t>
  </si>
  <si>
    <t>Credit</t>
  </si>
  <si>
    <t>B/P to: Barcombe Bonfire S</t>
  </si>
  <si>
    <t>ROAD BBS</t>
  </si>
  <si>
    <t>B/P to: Rumary</t>
  </si>
  <si>
    <t>RUMARY PC NOV</t>
  </si>
  <si>
    <t>B/P to: Foster</t>
  </si>
  <si>
    <t>FOSTER PC NOV</t>
  </si>
  <si>
    <t>B/P to: Austen</t>
  </si>
  <si>
    <t>AUSTEN PC OCT</t>
  </si>
  <si>
    <t>B/P to: Julia Foster</t>
  </si>
  <si>
    <t>HH PC DEC</t>
  </si>
  <si>
    <t>FOSTER PC DEC</t>
  </si>
  <si>
    <t>AUSTEN PC NOV</t>
  </si>
  <si>
    <t>MARKWICK M</t>
  </si>
  <si>
    <t>Blackcurrant Field</t>
  </si>
  <si>
    <t>TIFFIN KA</t>
  </si>
  <si>
    <t>BLACKCURRANT FIELD</t>
  </si>
  <si>
    <t>E Cottingham</t>
  </si>
  <si>
    <t>ARNOLD L</t>
  </si>
  <si>
    <t>A Marler</t>
  </si>
  <si>
    <t>Marler/Blackcurran</t>
  </si>
  <si>
    <t>A Chapman</t>
  </si>
  <si>
    <t>LIDDELL DAVID</t>
  </si>
  <si>
    <t>BLACKCURRANT</t>
  </si>
  <si>
    <t>CROSS&amp;GARDIN</t>
  </si>
  <si>
    <t>Blackcurrant field</t>
  </si>
  <si>
    <t>PUGH L &amp; TORII S</t>
  </si>
  <si>
    <t>Sheila Nutkins</t>
  </si>
  <si>
    <t>Tubb Benjamin</t>
  </si>
  <si>
    <t>WILLIAMS RA</t>
  </si>
  <si>
    <t>KIELTY LS&amp;DE</t>
  </si>
  <si>
    <t>Forward Robyn</t>
  </si>
  <si>
    <t>GIBBS  SC</t>
  </si>
  <si>
    <t>Katharine Peachey</t>
  </si>
  <si>
    <t>BlackcurrantField</t>
  </si>
  <si>
    <t>DOREEN CYNTHIA PRIOR</t>
  </si>
  <si>
    <t>WILLS/THOM E B</t>
  </si>
  <si>
    <t>WT Blackcurrant</t>
  </si>
  <si>
    <t>RANKIN A R MS</t>
  </si>
  <si>
    <t>Linda Ferriter</t>
  </si>
  <si>
    <t>blackcurrant field</t>
  </si>
  <si>
    <t>Z Walters</t>
  </si>
  <si>
    <t>Zoey/James/blackcu</t>
  </si>
  <si>
    <t>S Jackson</t>
  </si>
  <si>
    <t>GARNER SMITH AL</t>
  </si>
  <si>
    <t>Anna Garner Appeal</t>
  </si>
  <si>
    <t>ALEXANDER L J</t>
  </si>
  <si>
    <t>Lou and Guy</t>
  </si>
  <si>
    <t>B/P to: Stuart Arnold</t>
  </si>
  <si>
    <t>I Farrow</t>
  </si>
  <si>
    <t>GANT N</t>
  </si>
  <si>
    <t>BARCOMBE PL RES AS</t>
  </si>
  <si>
    <t>BARCOMBE PLACE RA</t>
  </si>
  <si>
    <t>B/P to: EDF</t>
  </si>
  <si>
    <t>EDF JAN 2024</t>
  </si>
  <si>
    <t>Debit Interest</t>
  </si>
  <si>
    <t>EDF ENERGY</t>
  </si>
  <si>
    <t>HH PC JAN 24</t>
  </si>
  <si>
    <t>B/P to: Hamsey Parish Coun</t>
  </si>
  <si>
    <t>BCOMBE SLEIGH</t>
  </si>
  <si>
    <t>B/P to: MP Downey</t>
  </si>
  <si>
    <t>PAV TAP</t>
  </si>
  <si>
    <t>B/P to: Ole Callf</t>
  </si>
  <si>
    <t xml:space="preserve">PAVILION </t>
  </si>
  <si>
    <t>AUSTEN EXP DEC</t>
  </si>
  <si>
    <t>AUSTEN PCDEC</t>
  </si>
  <si>
    <t>FOSTER BACKDATED</t>
  </si>
  <si>
    <t>FOSTER PC JAN 24</t>
  </si>
  <si>
    <t>B/P to: John Church</t>
  </si>
  <si>
    <t>BARCOMBE PC</t>
  </si>
  <si>
    <t>B/P to: Chubb</t>
  </si>
  <si>
    <t>B/P to: Lewes District Cou</t>
  </si>
  <si>
    <t xml:space="preserve">ELECTION EXPENSES </t>
  </si>
  <si>
    <t>AUSTEN PC JAN 24</t>
  </si>
  <si>
    <t>HH PC FEB 2024</t>
  </si>
  <si>
    <t>AUSTEN PC FEB</t>
  </si>
  <si>
    <t>B/P to: Beespoke</t>
  </si>
  <si>
    <t>B/P to: Jackie Cornwell</t>
  </si>
  <si>
    <t>PC XMAS TREE</t>
  </si>
  <si>
    <t>HH PC MARCH</t>
  </si>
  <si>
    <t>B/P to: Timelane</t>
  </si>
  <si>
    <t>PC PAVILION</t>
  </si>
  <si>
    <t>FOSTEREXPENSES</t>
  </si>
  <si>
    <t>FOSTER PC MARCH</t>
  </si>
  <si>
    <t>B/P to: Playsafe</t>
  </si>
  <si>
    <t>PATH REPAIR BARC</t>
  </si>
  <si>
    <t>B/P to: Monday Group</t>
  </si>
  <si>
    <t xml:space="preserve">BARCOMBE </t>
  </si>
  <si>
    <t>Closing Balance</t>
  </si>
  <si>
    <t>Total Income (excluding Precept)</t>
  </si>
  <si>
    <t xml:space="preserve">Total Expenditure </t>
  </si>
  <si>
    <t>Savings Account HSBC 40-18-39 01234498</t>
  </si>
  <si>
    <t>Grants/Transfers</t>
  </si>
  <si>
    <t xml:space="preserve">Interest </t>
  </si>
  <si>
    <t>Opening Balance 1 April 2023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</si>
  <si>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</si>
  <si>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</si>
  <si>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</si>
  <si>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</si>
  <si>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</si>
  <si>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</si>
  <si>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</si>
  <si>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</si>
  <si>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 xml:space="preserve">December </t>
  </si>
  <si>
    <t>January</t>
  </si>
  <si>
    <t>February</t>
  </si>
  <si>
    <t>March</t>
  </si>
  <si>
    <t xml:space="preserve">Total Interest </t>
  </si>
  <si>
    <t>Total drawdown</t>
  </si>
  <si>
    <t>Closing Balance 31 Mar 2024</t>
  </si>
  <si>
    <t xml:space="preserve">Main plus saving </t>
  </si>
  <si>
    <t>Public Works Loans</t>
  </si>
  <si>
    <t>Date of inception</t>
  </si>
  <si>
    <t>Ref</t>
  </si>
  <si>
    <t>Term Years</t>
  </si>
  <si>
    <t>Years outstanding</t>
  </si>
  <si>
    <t>Final payment date</t>
  </si>
  <si>
    <t>Interest</t>
  </si>
  <si>
    <t>Value</t>
  </si>
  <si>
    <t>Outstanding 31st March 2023</t>
  </si>
  <si>
    <t>Outstanding 31 March 2024</t>
  </si>
  <si>
    <t>£</t>
  </si>
  <si>
    <t>Wild about barcombe &amp; Lower Rec</t>
  </si>
  <si>
    <t>Land for the Village Hall</t>
  </si>
  <si>
    <t>Expected 29 Mar 24</t>
  </si>
  <si>
    <t>2016 / 2017</t>
  </si>
  <si>
    <t>2017 / 2018</t>
  </si>
  <si>
    <t>2018 / 2019</t>
  </si>
  <si>
    <t>Budget</t>
  </si>
  <si>
    <t>Actual</t>
  </si>
  <si>
    <t>Varience</t>
  </si>
  <si>
    <t>Forecast</t>
  </si>
  <si>
    <t>Comments</t>
  </si>
  <si>
    <t>Clerks Expenses</t>
  </si>
  <si>
    <t>2% increase</t>
  </si>
  <si>
    <t>Finance Costs</t>
  </si>
  <si>
    <t>5% Increase</t>
  </si>
  <si>
    <t>Assume similar level</t>
  </si>
  <si>
    <t>Audit Fee external</t>
  </si>
  <si>
    <t>Remains constant</t>
  </si>
  <si>
    <t>Councillior costs</t>
  </si>
  <si>
    <t>Assume similiar level</t>
  </si>
  <si>
    <t>Chairman Fund</t>
  </si>
  <si>
    <t>Maintenance costs</t>
  </si>
  <si>
    <t>£204 per month</t>
  </si>
  <si>
    <t>WAB Maintenance</t>
  </si>
  <si>
    <t>Now has separate accounts line</t>
  </si>
  <si>
    <t>Defibrillator maintenance</t>
  </si>
  <si>
    <t xml:space="preserve">Estimate for yearly service </t>
  </si>
  <si>
    <t>Barcombe Mills</t>
  </si>
  <si>
    <t>From reserves</t>
  </si>
  <si>
    <t>Funded by grants????.</t>
  </si>
  <si>
    <t>Grants &amp; Donations</t>
  </si>
  <si>
    <t>Capital Expenditure Plan</t>
  </si>
  <si>
    <t>Community assets</t>
  </si>
  <si>
    <t>Description of spend</t>
  </si>
  <si>
    <t>Year of spend</t>
  </si>
  <si>
    <t>Estimated</t>
  </si>
  <si>
    <t>Funding source</t>
  </si>
  <si>
    <t>Beyond</t>
  </si>
  <si>
    <t>Cost</t>
  </si>
  <si>
    <t>PC Budget</t>
  </si>
  <si>
    <t>Recreation Ground</t>
  </si>
  <si>
    <t xml:space="preserve">Bowling area &amp; fencing </t>
  </si>
  <si>
    <t>Crickets square</t>
  </si>
  <si>
    <t>Football pitch</t>
  </si>
  <si>
    <t>Stool Ball</t>
  </si>
  <si>
    <t>Tennis Courts</t>
  </si>
  <si>
    <t>Lower field</t>
  </si>
  <si>
    <t>Bike humps</t>
  </si>
  <si>
    <t>Reinstate / Redesign</t>
  </si>
  <si>
    <t>Redesign of layout, replace old equipment, possibly move location</t>
  </si>
  <si>
    <t>Violia matched funding</t>
  </si>
  <si>
    <t>Car park</t>
  </si>
  <si>
    <t>Footpaths</t>
  </si>
  <si>
    <t>Car park toilet</t>
  </si>
  <si>
    <t>Refurbish</t>
  </si>
  <si>
    <t>Fencing</t>
  </si>
  <si>
    <t>Hedge &amp; trees</t>
  </si>
  <si>
    <t>Cutback trees to reduce foliage</t>
  </si>
  <si>
    <t>Pump house Field</t>
  </si>
  <si>
    <t>Pump house</t>
  </si>
  <si>
    <t>Allotments</t>
  </si>
  <si>
    <t>Paths</t>
  </si>
  <si>
    <t>Sports Pavilion</t>
  </si>
  <si>
    <t>Building</t>
  </si>
  <si>
    <t>Toilets</t>
  </si>
  <si>
    <t>Front room / Referee changing room</t>
  </si>
  <si>
    <t>Clear of clutter, blinds on Windows</t>
  </si>
  <si>
    <t>Main changing rooms</t>
  </si>
  <si>
    <t>Update</t>
  </si>
  <si>
    <t>Shower area</t>
  </si>
  <si>
    <t>Redesign layout, install new showers</t>
  </si>
  <si>
    <t>Main room</t>
  </si>
  <si>
    <t>Disabled toilet</t>
  </si>
  <si>
    <t>External toilet</t>
  </si>
  <si>
    <t>Refurbish and open to public</t>
  </si>
  <si>
    <t>Kitchen area</t>
  </si>
  <si>
    <t>Bowling area</t>
  </si>
  <si>
    <t>Outside rear sheds</t>
  </si>
  <si>
    <t>Pavilion contents</t>
  </si>
  <si>
    <t>Hot water boiler</t>
  </si>
  <si>
    <t>Pavilion Equipment</t>
  </si>
  <si>
    <t>Tractor</t>
  </si>
  <si>
    <t>Barcombe Mills Car Park</t>
  </si>
  <si>
    <t>Hedges &amp; Trees</t>
  </si>
  <si>
    <t xml:space="preserve">Street furniture </t>
  </si>
  <si>
    <t>Bus Shelter</t>
  </si>
  <si>
    <t>?</t>
  </si>
  <si>
    <t>Youth Shelter</t>
  </si>
  <si>
    <t>Public benches</t>
  </si>
  <si>
    <t>New benches for roundabout</t>
  </si>
  <si>
    <t>Notice boards</t>
  </si>
  <si>
    <t>Flagpole</t>
  </si>
  <si>
    <t>Sign posts</t>
  </si>
  <si>
    <t>Computer and office equipment</t>
  </si>
  <si>
    <t>Invoice number</t>
  </si>
  <si>
    <t>Date</t>
  </si>
  <si>
    <t>Client</t>
  </si>
  <si>
    <t xml:space="preserve">Date Paid </t>
  </si>
  <si>
    <t>Main Bank Tab Ref</t>
  </si>
  <si>
    <t>BPC/33</t>
  </si>
  <si>
    <t>15th May 2019</t>
  </si>
  <si>
    <t>Recreation Hire</t>
  </si>
  <si>
    <t>BPC/34</t>
  </si>
  <si>
    <t>BPC/35</t>
  </si>
  <si>
    <t>BPC/36</t>
  </si>
  <si>
    <t>BPC/37</t>
  </si>
  <si>
    <t>BPC/38</t>
  </si>
  <si>
    <t>Bowls</t>
  </si>
  <si>
    <t>BPC/39</t>
  </si>
  <si>
    <t>Water Cricket</t>
  </si>
  <si>
    <t>BPC/40</t>
  </si>
  <si>
    <t>Water Bowls</t>
  </si>
  <si>
    <t>BPC/41</t>
  </si>
  <si>
    <t>Water Allotment</t>
  </si>
  <si>
    <t>BPC/48</t>
  </si>
  <si>
    <t>Pavilion Hire</t>
  </si>
  <si>
    <t>Orla Smith</t>
  </si>
  <si>
    <t>BPC/49</t>
  </si>
  <si>
    <t>School</t>
  </si>
  <si>
    <t>BPC/50</t>
  </si>
  <si>
    <t>BPC/51</t>
  </si>
  <si>
    <t>BPC/52</t>
  </si>
  <si>
    <t>BPC/53</t>
  </si>
  <si>
    <t>BPC/54</t>
  </si>
  <si>
    <t>BPC/55</t>
  </si>
  <si>
    <t>BPC/56</t>
  </si>
  <si>
    <t>BARCOMBE PARISH COUNCIL</t>
  </si>
  <si>
    <t>ASSET REGISTER</t>
  </si>
  <si>
    <t>YEAR ENDED 31ST MARCH 2024</t>
  </si>
  <si>
    <t>As at 31st March 2024 the following assets were held by Barcombe Parish Council</t>
  </si>
  <si>
    <t xml:space="preserve">     £</t>
  </si>
  <si>
    <t>Pumphouse Field &amp; Pump House</t>
  </si>
  <si>
    <t>Tennis Field</t>
  </si>
  <si>
    <t>Sports Pavilion and toilets</t>
  </si>
  <si>
    <t>Street furniture - bus shelter, youth shelter</t>
  </si>
  <si>
    <t>public benches, notice boards</t>
  </si>
  <si>
    <t>fencing, flagpole and sign posts</t>
  </si>
  <si>
    <t>Tractor, equipment and pavilion contents</t>
  </si>
  <si>
    <t>The basis of the above list is the insured value</t>
  </si>
  <si>
    <t xml:space="preserve">the Recreation Ground and other fields are valued at nil in accordance with  </t>
  </si>
  <si>
    <t>"Guidance of Community Assets"</t>
  </si>
  <si>
    <t>Office equipment is held at the home of the Clerk to the Council</t>
  </si>
  <si>
    <t>Julia Shelley</t>
  </si>
  <si>
    <t>Clerk and Responsible Officer</t>
  </si>
  <si>
    <t>Date of Invoice</t>
  </si>
  <si>
    <t>VAT Reg Number</t>
  </si>
  <si>
    <t>Company</t>
  </si>
  <si>
    <t>Payee</t>
  </si>
  <si>
    <t>VAT Paid</t>
  </si>
  <si>
    <t>1/81/16</t>
  </si>
  <si>
    <t>SSALC</t>
  </si>
  <si>
    <t>Barcombe Parish Council</t>
  </si>
  <si>
    <t>Chandlers</t>
  </si>
  <si>
    <t>Landscape Materials</t>
  </si>
  <si>
    <t>PKF Littlejohn</t>
  </si>
  <si>
    <t>Audit</t>
  </si>
  <si>
    <t>Fire Protection</t>
  </si>
  <si>
    <t>Barcombe Landscapes</t>
  </si>
  <si>
    <t>Ground Maintenance</t>
  </si>
  <si>
    <t>Wightman and Parrish</t>
  </si>
  <si>
    <t>Cleaning Materials</t>
  </si>
  <si>
    <t>Fortismere</t>
  </si>
  <si>
    <t>Neighbourhood Plan Consultation</t>
  </si>
  <si>
    <t>Fitness Sports</t>
  </si>
  <si>
    <t>Cricket Matting</t>
  </si>
  <si>
    <t>Metal Store</t>
  </si>
  <si>
    <t>Steel Tubing</t>
  </si>
  <si>
    <t>Playground Inspection</t>
  </si>
  <si>
    <t>Paynes</t>
  </si>
  <si>
    <t>Boiler</t>
  </si>
  <si>
    <t>Memorial Benches</t>
  </si>
  <si>
    <t>Bench</t>
  </si>
  <si>
    <t>Trower</t>
  </si>
  <si>
    <t>Pavilion Repair</t>
  </si>
  <si>
    <t>Tree Cutting</t>
  </si>
  <si>
    <t>University of Brighton</t>
  </si>
  <si>
    <t>Printing</t>
  </si>
  <si>
    <t xml:space="preserve">April - October 2018 Update </t>
  </si>
  <si>
    <t>Re-Forecast</t>
  </si>
  <si>
    <t>Month Number</t>
  </si>
  <si>
    <t>Bench maintenance</t>
  </si>
  <si>
    <t>Fingerpost maintenance</t>
  </si>
  <si>
    <t>Tractor/strimmer maintenance</t>
  </si>
  <si>
    <t xml:space="preserve">                                                                                                                        </t>
  </si>
  <si>
    <t>Proposed 2019 Budget</t>
  </si>
  <si>
    <t>April 2020 - Feb 2021</t>
  </si>
  <si>
    <t>2020 - 2021</t>
  </si>
  <si>
    <t xml:space="preserve">Fixed three years </t>
  </si>
  <si>
    <t xml:space="preserve">2% increase </t>
  </si>
  <si>
    <t>Plus hourly payrise to be agreed</t>
  </si>
  <si>
    <t>Allow similar level</t>
  </si>
  <si>
    <t>Remove going forward?</t>
  </si>
  <si>
    <t xml:space="preserve">Playground Planning </t>
  </si>
  <si>
    <t>Seed funding for project</t>
  </si>
  <si>
    <t xml:space="preserve">Pavilion Planing </t>
  </si>
  <si>
    <t>Increase base grant figure? £2000</t>
  </si>
  <si>
    <t>Increase in precept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</si>
</sst>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£&quot;#,##0;[Red]\-&quot;£&quot;#,##0"/>
    <numFmt numFmtId="165" formatCode="&quot;£&quot;#,##0.00;[Red]\-&quot;£&quot;#,##0.00"/>
    <numFmt numFmtId="166" formatCode="_-* #,##0.00_-;\-* #,##0.00_-;_-* &quot;-&quot;??_-;_-@_-"/>
    <numFmt numFmtId="167" formatCode="&quot;£&quot;#,##0.00"/>
    <numFmt numFmtId="168" formatCode="[$-F800]dddd\,\ mmmm\ dd\,\ yyyy"/>
    <numFmt numFmtId="169" formatCode="[$£-809]#,##0.00;[Red]\-[$£-809]#,##0.00"/>
    <numFmt numFmtId="170" formatCode="&quot;£&quot;#,##0"/>
    <numFmt numFmtId="171" formatCode="#,##0;\(#,##0\)"/>
    <numFmt numFmtId="172" formatCode="#,##0.00;\(#,##0.00\)"/>
    <numFmt numFmtId="173" formatCode="#,##0.000000000000"/>
    <numFmt numFmtId="174" formatCode="_-[$£-809]* #,##0.00_-;\-[$£-809]* #,##0.00_-;_-[$£-809]* &quot;-&quot;??_-;_-@_-"/>
  </numFmts>
  <fonts count="4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2"/>
      <name val="Arial"/>
      <family val="2"/>
    </font>
    <font>
      <sz val="11"/>
      <name val="Verdana"/>
      <family val="2"/>
    </font>
    <font>
      <sz val="8"/>
      <color theme="4" tint="-0.499984740745262"/>
      <name val="Arial"/>
      <family val="2"/>
    </font>
    <font>
      <sz val="10"/>
      <color theme="4" tint="-0.499984740745262"/>
      <name val="Verdana"/>
      <family val="2"/>
    </font>
    <font>
      <b/>
      <sz val="16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theme="0" tint="-0.34998626667073579"/>
      <name val="Verdana"/>
      <family val="2"/>
    </font>
    <font>
      <sz val="10"/>
      <color rgb="FFFF0000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34998626667073579"/>
      <name val="Arial"/>
      <family val="2"/>
    </font>
    <font>
      <sz val="10"/>
      <color theme="0" tint="-0.49998474074526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b/>
      <sz val="8"/>
      <name val="Verdana"/>
      <family val="2"/>
    </font>
    <font>
      <sz val="8"/>
      <name val="Arial"/>
      <family val="2"/>
    </font>
    <font>
      <u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1"/>
      <color theme="0" tint="-0.3499862666707357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4" fillId="0" borderId="0"/>
    <xf numFmtId="0" fontId="2" fillId="0" borderId="0"/>
  </cellStyleXfs>
  <cellXfs count="324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2" fontId="0" fillId="0" borderId="1" xfId="0" applyNumberFormat="1" applyBorder="1"/>
    <xf numFmtId="2" fontId="0" fillId="0" borderId="0" xfId="0" applyNumberForma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168" fontId="4" fillId="0" borderId="1" xfId="0" applyNumberFormat="1" applyFont="1" applyBorder="1"/>
    <xf numFmtId="168" fontId="0" fillId="0" borderId="1" xfId="0" applyNumberFormat="1" applyBorder="1"/>
    <xf numFmtId="168" fontId="0" fillId="0" borderId="0" xfId="0" applyNumberFormat="1"/>
    <xf numFmtId="168" fontId="3" fillId="0" borderId="1" xfId="0" applyNumberFormat="1" applyFont="1" applyBorder="1" applyAlignment="1">
      <alignment horizontal="center" wrapText="1"/>
    </xf>
    <xf numFmtId="4" fontId="9" fillId="0" borderId="0" xfId="0" applyNumberFormat="1" applyFont="1"/>
    <xf numFmtId="4" fontId="4" fillId="0" borderId="0" xfId="0" applyNumberFormat="1" applyFont="1"/>
    <xf numFmtId="49" fontId="4" fillId="0" borderId="0" xfId="0" applyNumberFormat="1" applyFont="1" applyAlignment="1">
      <alignment wrapText="1"/>
    </xf>
    <xf numFmtId="165" fontId="0" fillId="0" borderId="0" xfId="0" applyNumberFormat="1"/>
    <xf numFmtId="49" fontId="4" fillId="0" borderId="0" xfId="0" applyNumberFormat="1" applyFont="1" applyAlignment="1" applyProtection="1">
      <alignment wrapText="1"/>
      <protection locked="0"/>
    </xf>
    <xf numFmtId="4" fontId="3" fillId="0" borderId="0" xfId="0" applyNumberFormat="1" applyFont="1"/>
    <xf numFmtId="4" fontId="10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2" borderId="1" xfId="0" applyFont="1" applyFill="1" applyBorder="1" applyAlignment="1">
      <alignment wrapText="1"/>
    </xf>
    <xf numFmtId="4" fontId="4" fillId="0" borderId="1" xfId="0" applyNumberFormat="1" applyFont="1" applyBorder="1"/>
    <xf numFmtId="4" fontId="9" fillId="0" borderId="1" xfId="0" applyNumberFormat="1" applyFont="1" applyBorder="1"/>
    <xf numFmtId="49" fontId="4" fillId="0" borderId="1" xfId="0" applyNumberFormat="1" applyFont="1" applyBorder="1" applyAlignment="1" applyProtection="1">
      <alignment wrapText="1"/>
      <protection locked="0"/>
    </xf>
    <xf numFmtId="4" fontId="11" fillId="0" borderId="1" xfId="0" applyNumberFormat="1" applyFont="1" applyBorder="1"/>
    <xf numFmtId="0" fontId="8" fillId="0" borderId="0" xfId="0" applyFont="1" applyAlignment="1">
      <alignment wrapText="1"/>
    </xf>
    <xf numFmtId="0" fontId="8" fillId="0" borderId="0" xfId="0" applyFont="1"/>
    <xf numFmtId="4" fontId="12" fillId="0" borderId="1" xfId="0" applyNumberFormat="1" applyFont="1" applyBorder="1"/>
    <xf numFmtId="2" fontId="8" fillId="0" borderId="0" xfId="0" applyNumberFormat="1" applyFont="1"/>
    <xf numFmtId="4" fontId="9" fillId="0" borderId="0" xfId="0" applyNumberFormat="1" applyFont="1" applyAlignment="1">
      <alignment horizontal="right"/>
    </xf>
    <xf numFmtId="4" fontId="11" fillId="0" borderId="1" xfId="0" applyNumberFormat="1" applyFont="1" applyBorder="1" applyAlignment="1">
      <alignment horizontal="right"/>
    </xf>
    <xf numFmtId="4" fontId="1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5" fontId="3" fillId="0" borderId="0" xfId="0" applyNumberFormat="1" applyFont="1"/>
    <xf numFmtId="170" fontId="0" fillId="0" borderId="0" xfId="0" applyNumberFormat="1"/>
    <xf numFmtId="0" fontId="0" fillId="0" borderId="5" xfId="0" applyBorder="1"/>
    <xf numFmtId="4" fontId="3" fillId="0" borderId="1" xfId="0" quotePrefix="1" applyNumberFormat="1" applyFont="1" applyBorder="1"/>
    <xf numFmtId="17" fontId="10" fillId="0" borderId="1" xfId="0" quotePrefix="1" applyNumberFormat="1" applyFont="1" applyBorder="1"/>
    <xf numFmtId="17" fontId="10" fillId="0" borderId="1" xfId="0" quotePrefix="1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168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165" fontId="4" fillId="0" borderId="1" xfId="0" applyNumberFormat="1" applyFont="1" applyBorder="1" applyProtection="1">
      <protection locked="0"/>
    </xf>
    <xf numFmtId="14" fontId="4" fillId="0" borderId="1" xfId="0" applyNumberFormat="1" applyFont="1" applyBorder="1" applyAlignment="1">
      <alignment horizontal="left"/>
    </xf>
    <xf numFmtId="4" fontId="4" fillId="0" borderId="1" xfId="0" quotePrefix="1" applyNumberFormat="1" applyFont="1" applyBorder="1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 applyProtection="1">
      <protection locked="0"/>
    </xf>
    <xf numFmtId="165" fontId="3" fillId="0" borderId="1" xfId="0" applyNumberFormat="1" applyFont="1" applyBorder="1" applyAlignment="1" applyProtection="1">
      <alignment horizontal="right"/>
      <protection locked="0"/>
    </xf>
    <xf numFmtId="0" fontId="3" fillId="0" borderId="1" xfId="0" applyFont="1" applyBorder="1"/>
    <xf numFmtId="4" fontId="10" fillId="0" borderId="1" xfId="0" quotePrefix="1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49" fontId="0" fillId="0" borderId="1" xfId="0" applyNumberFormat="1" applyBorder="1" applyProtection="1">
      <protection locked="0"/>
    </xf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/>
    <xf numFmtId="49" fontId="4" fillId="0" borderId="1" xfId="0" applyNumberFormat="1" applyFont="1" applyBorder="1" applyProtection="1">
      <protection locked="0"/>
    </xf>
    <xf numFmtId="168" fontId="12" fillId="0" borderId="1" xfId="0" applyNumberFormat="1" applyFont="1" applyBorder="1" applyAlignment="1">
      <alignment horizontal="left"/>
    </xf>
    <xf numFmtId="165" fontId="0" fillId="0" borderId="1" xfId="0" applyNumberFormat="1" applyBorder="1" applyProtection="1">
      <protection locked="0"/>
    </xf>
    <xf numFmtId="4" fontId="18" fillId="0" borderId="1" xfId="0" applyNumberFormat="1" applyFont="1" applyBorder="1"/>
    <xf numFmtId="0" fontId="20" fillId="0" borderId="1" xfId="0" applyFont="1" applyBorder="1"/>
    <xf numFmtId="168" fontId="5" fillId="0" borderId="1" xfId="0" applyNumberFormat="1" applyFont="1" applyBorder="1"/>
    <xf numFmtId="0" fontId="5" fillId="0" borderId="1" xfId="0" applyFont="1" applyBorder="1"/>
    <xf numFmtId="4" fontId="13" fillId="0" borderId="1" xfId="0" applyNumberFormat="1" applyFont="1" applyBorder="1"/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left" wrapText="1"/>
    </xf>
    <xf numFmtId="165" fontId="4" fillId="0" borderId="1" xfId="0" applyNumberFormat="1" applyFont="1" applyBorder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165" fontId="4" fillId="0" borderId="2" xfId="0" applyNumberFormat="1" applyFont="1" applyBorder="1" applyProtection="1">
      <protection locked="0"/>
    </xf>
    <xf numFmtId="165" fontId="3" fillId="0" borderId="2" xfId="0" applyNumberFormat="1" applyFont="1" applyBorder="1" applyAlignment="1" applyProtection="1">
      <alignment horizontal="right"/>
      <protection locked="0"/>
    </xf>
    <xf numFmtId="4" fontId="10" fillId="0" borderId="2" xfId="0" quotePrefix="1" applyNumberFormat="1" applyFont="1" applyBorder="1" applyAlignment="1">
      <alignment horizontal="right"/>
    </xf>
    <xf numFmtId="4" fontId="9" fillId="0" borderId="2" xfId="0" applyNumberFormat="1" applyFont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165" fontId="17" fillId="0" borderId="2" xfId="0" applyNumberFormat="1" applyFont="1" applyBorder="1" applyAlignment="1" applyProtection="1">
      <alignment horizontal="right"/>
      <protection locked="0"/>
    </xf>
    <xf numFmtId="0" fontId="3" fillId="0" borderId="5" xfId="0" applyFont="1" applyBorder="1"/>
    <xf numFmtId="4" fontId="12" fillId="0" borderId="0" xfId="0" applyNumberFormat="1" applyFont="1"/>
    <xf numFmtId="4" fontId="14" fillId="0" borderId="0" xfId="0" applyNumberFormat="1" applyFont="1"/>
    <xf numFmtId="4" fontId="15" fillId="0" borderId="0" xfId="0" applyNumberFormat="1" applyFont="1"/>
    <xf numFmtId="168" fontId="4" fillId="0" borderId="3" xfId="0" applyNumberFormat="1" applyFont="1" applyBorder="1"/>
    <xf numFmtId="49" fontId="4" fillId="0" borderId="3" xfId="0" applyNumberFormat="1" applyFont="1" applyBorder="1" applyAlignment="1" applyProtection="1">
      <alignment wrapText="1"/>
      <protection locked="0"/>
    </xf>
    <xf numFmtId="168" fontId="4" fillId="0" borderId="4" xfId="0" applyNumberFormat="1" applyFont="1" applyBorder="1"/>
    <xf numFmtId="0" fontId="4" fillId="0" borderId="4" xfId="0" applyFont="1" applyBorder="1" applyAlignment="1">
      <alignment wrapText="1"/>
    </xf>
    <xf numFmtId="49" fontId="4" fillId="0" borderId="4" xfId="0" applyNumberFormat="1" applyFont="1" applyBorder="1" applyAlignment="1" applyProtection="1">
      <alignment wrapText="1"/>
      <protection locked="0"/>
    </xf>
    <xf numFmtId="0" fontId="4" fillId="0" borderId="3" xfId="0" applyFont="1" applyBorder="1" applyAlignment="1">
      <alignment wrapText="1"/>
    </xf>
    <xf numFmtId="165" fontId="21" fillId="0" borderId="1" xfId="0" applyNumberFormat="1" applyFont="1" applyBorder="1" applyAlignment="1" applyProtection="1">
      <alignment horizontal="right"/>
      <protection locked="0"/>
    </xf>
    <xf numFmtId="167" fontId="0" fillId="0" borderId="1" xfId="0" applyNumberFormat="1" applyBorder="1"/>
    <xf numFmtId="167" fontId="0" fillId="0" borderId="0" xfId="0" applyNumberFormat="1"/>
    <xf numFmtId="4" fontId="3" fillId="0" borderId="1" xfId="0" quotePrefix="1" applyNumberFormat="1" applyFont="1" applyBorder="1" applyAlignment="1">
      <alignment wrapText="1"/>
    </xf>
    <xf numFmtId="17" fontId="10" fillId="0" borderId="1" xfId="0" quotePrefix="1" applyNumberFormat="1" applyFont="1" applyBorder="1" applyAlignment="1">
      <alignment wrapText="1"/>
    </xf>
    <xf numFmtId="4" fontId="11" fillId="0" borderId="1" xfId="0" applyNumberFormat="1" applyFont="1" applyBorder="1" applyAlignment="1">
      <alignment wrapText="1"/>
    </xf>
    <xf numFmtId="10" fontId="0" fillId="0" borderId="0" xfId="1" applyNumberFormat="1" applyFont="1"/>
    <xf numFmtId="166" fontId="0" fillId="0" borderId="0" xfId="2" applyFont="1"/>
    <xf numFmtId="166" fontId="4" fillId="0" borderId="0" xfId="2" applyFont="1" applyAlignment="1">
      <alignment wrapText="1"/>
    </xf>
    <xf numFmtId="0" fontId="3" fillId="0" borderId="0" xfId="0" applyFont="1" applyAlignment="1">
      <alignment wrapText="1"/>
    </xf>
    <xf numFmtId="166" fontId="3" fillId="0" borderId="0" xfId="2" applyFont="1" applyAlignment="1">
      <alignment wrapText="1"/>
    </xf>
    <xf numFmtId="166" fontId="3" fillId="0" borderId="6" xfId="2" applyFont="1" applyBorder="1"/>
    <xf numFmtId="14" fontId="0" fillId="0" borderId="0" xfId="0" applyNumberFormat="1"/>
    <xf numFmtId="4" fontId="10" fillId="0" borderId="1" xfId="0" applyNumberFormat="1" applyFont="1" applyBorder="1" applyAlignment="1">
      <alignment wrapText="1"/>
    </xf>
    <xf numFmtId="0" fontId="26" fillId="0" borderId="0" xfId="0" applyFont="1"/>
    <xf numFmtId="0" fontId="0" fillId="0" borderId="7" xfId="0" applyBorder="1"/>
    <xf numFmtId="0" fontId="0" fillId="4" borderId="0" xfId="0" applyFill="1"/>
    <xf numFmtId="168" fontId="16" fillId="0" borderId="2" xfId="0" applyNumberFormat="1" applyFont="1" applyBorder="1" applyAlignment="1">
      <alignment wrapText="1"/>
    </xf>
    <xf numFmtId="168" fontId="16" fillId="0" borderId="6" xfId="0" applyNumberFormat="1" applyFont="1" applyBorder="1" applyAlignment="1">
      <alignment wrapText="1"/>
    </xf>
    <xf numFmtId="168" fontId="16" fillId="0" borderId="9" xfId="0" applyNumberFormat="1" applyFont="1" applyBorder="1" applyAlignment="1">
      <alignment wrapText="1"/>
    </xf>
    <xf numFmtId="168" fontId="7" fillId="0" borderId="2" xfId="0" applyNumberFormat="1" applyFont="1" applyBorder="1"/>
    <xf numFmtId="168" fontId="7" fillId="0" borderId="6" xfId="0" applyNumberFormat="1" applyFont="1" applyBorder="1"/>
    <xf numFmtId="0" fontId="26" fillId="0" borderId="0" xfId="0" applyFont="1" applyAlignment="1">
      <alignment horizontal="center"/>
    </xf>
    <xf numFmtId="168" fontId="16" fillId="2" borderId="6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14" fontId="4" fillId="2" borderId="1" xfId="0" applyNumberFormat="1" applyFont="1" applyFill="1" applyBorder="1" applyAlignment="1">
      <alignment horizontal="left" wrapText="1"/>
    </xf>
    <xf numFmtId="168" fontId="4" fillId="2" borderId="1" xfId="0" applyNumberFormat="1" applyFont="1" applyFill="1" applyBorder="1" applyAlignment="1">
      <alignment horizontal="center" wrapText="1"/>
    </xf>
    <xf numFmtId="0" fontId="19" fillId="0" borderId="0" xfId="0" applyFont="1"/>
    <xf numFmtId="168" fontId="16" fillId="0" borderId="6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5" fontId="5" fillId="0" borderId="1" xfId="0" applyNumberFormat="1" applyFont="1" applyBorder="1"/>
    <xf numFmtId="0" fontId="4" fillId="0" borderId="1" xfId="0" applyFont="1" applyBorder="1" applyAlignment="1">
      <alignment horizontal="left" wrapText="1"/>
    </xf>
    <xf numFmtId="171" fontId="0" fillId="0" borderId="0" xfId="0" applyNumberFormat="1"/>
    <xf numFmtId="171" fontId="3" fillId="0" borderId="0" xfId="0" applyNumberFormat="1" applyFont="1"/>
    <xf numFmtId="171" fontId="4" fillId="0" borderId="0" xfId="0" applyNumberFormat="1" applyFont="1"/>
    <xf numFmtId="172" fontId="0" fillId="0" borderId="0" xfId="0" applyNumberFormat="1"/>
    <xf numFmtId="172" fontId="0" fillId="0" borderId="0" xfId="2" applyNumberFormat="1" applyFont="1" applyAlignment="1">
      <alignment vertical="center"/>
    </xf>
    <xf numFmtId="172" fontId="3" fillId="0" borderId="6" xfId="2" applyNumberFormat="1" applyFont="1" applyBorder="1" applyAlignment="1">
      <alignment vertical="center"/>
    </xf>
    <xf numFmtId="172" fontId="3" fillId="0" borderId="10" xfId="0" applyNumberFormat="1" applyFont="1" applyBorder="1"/>
    <xf numFmtId="172" fontId="4" fillId="0" borderId="0" xfId="2" applyNumberFormat="1" applyFont="1" applyAlignment="1">
      <alignment vertical="center"/>
    </xf>
    <xf numFmtId="171" fontId="0" fillId="0" borderId="8" xfId="0" applyNumberFormat="1" applyBorder="1"/>
    <xf numFmtId="172" fontId="0" fillId="0" borderId="8" xfId="0" applyNumberFormat="1" applyBorder="1"/>
    <xf numFmtId="168" fontId="3" fillId="0" borderId="6" xfId="0" applyNumberFormat="1" applyFont="1" applyBorder="1" applyAlignment="1">
      <alignment wrapText="1"/>
    </xf>
    <xf numFmtId="168" fontId="3" fillId="0" borderId="5" xfId="0" applyNumberFormat="1" applyFont="1" applyBorder="1"/>
    <xf numFmtId="168" fontId="3" fillId="0" borderId="1" xfId="0" applyNumberFormat="1" applyFont="1" applyBorder="1" applyAlignment="1">
      <alignment horizontal="left"/>
    </xf>
    <xf numFmtId="167" fontId="4" fillId="0" borderId="1" xfId="0" applyNumberFormat="1" applyFont="1" applyBorder="1" applyAlignment="1">
      <alignment horizontal="center" wrapText="1"/>
    </xf>
    <xf numFmtId="168" fontId="4" fillId="0" borderId="1" xfId="0" applyNumberFormat="1" applyFont="1" applyBorder="1" applyAlignment="1">
      <alignment horizontal="left" wrapText="1"/>
    </xf>
    <xf numFmtId="165" fontId="4" fillId="0" borderId="0" xfId="0" applyNumberFormat="1" applyFont="1" applyProtection="1">
      <protection locked="0"/>
    </xf>
    <xf numFmtId="171" fontId="0" fillId="0" borderId="0" xfId="0" applyNumberFormat="1" applyAlignment="1">
      <alignment horizontal="center"/>
    </xf>
    <xf numFmtId="171" fontId="0" fillId="0" borderId="1" xfId="0" applyNumberFormat="1" applyBorder="1"/>
    <xf numFmtId="171" fontId="0" fillId="0" borderId="1" xfId="0" applyNumberFormat="1" applyBorder="1" applyAlignment="1">
      <alignment horizontal="center"/>
    </xf>
    <xf numFmtId="171" fontId="3" fillId="0" borderId="1" xfId="0" applyNumberFormat="1" applyFont="1" applyBorder="1" applyAlignment="1">
      <alignment horizontal="center"/>
    </xf>
    <xf numFmtId="171" fontId="3" fillId="0" borderId="1" xfId="0" applyNumberFormat="1" applyFont="1" applyBorder="1"/>
    <xf numFmtId="171" fontId="4" fillId="0" borderId="1" xfId="0" applyNumberFormat="1" applyFont="1" applyBorder="1"/>
    <xf numFmtId="171" fontId="4" fillId="0" borderId="1" xfId="0" applyNumberFormat="1" applyFont="1" applyBorder="1" applyAlignment="1">
      <alignment horizontal="center"/>
    </xf>
    <xf numFmtId="172" fontId="0" fillId="0" borderId="1" xfId="0" applyNumberFormat="1" applyBorder="1" applyAlignment="1">
      <alignment vertical="center"/>
    </xf>
    <xf numFmtId="172" fontId="0" fillId="0" borderId="1" xfId="0" applyNumberFormat="1" applyBorder="1"/>
    <xf numFmtId="172" fontId="4" fillId="0" borderId="1" xfId="2" applyNumberFormat="1" applyFont="1" applyBorder="1" applyAlignment="1">
      <alignment vertical="center" wrapText="1"/>
    </xf>
    <xf numFmtId="172" fontId="4" fillId="0" borderId="1" xfId="0" applyNumberFormat="1" applyFont="1" applyBorder="1" applyAlignment="1">
      <alignment wrapText="1"/>
    </xf>
    <xf numFmtId="172" fontId="0" fillId="0" borderId="1" xfId="2" applyNumberFormat="1" applyFont="1" applyBorder="1" applyAlignment="1">
      <alignment vertical="center"/>
    </xf>
    <xf numFmtId="172" fontId="3" fillId="0" borderId="1" xfId="2" applyNumberFormat="1" applyFont="1" applyBorder="1" applyAlignment="1">
      <alignment vertical="center"/>
    </xf>
    <xf numFmtId="172" fontId="4" fillId="0" borderId="1" xfId="0" applyNumberFormat="1" applyFont="1" applyBorder="1"/>
    <xf numFmtId="172" fontId="3" fillId="0" borderId="1" xfId="0" applyNumberFormat="1" applyFont="1" applyBorder="1"/>
    <xf numFmtId="172" fontId="4" fillId="0" borderId="1" xfId="2" applyNumberFormat="1" applyFont="1" applyBorder="1" applyAlignment="1">
      <alignment vertical="center"/>
    </xf>
    <xf numFmtId="173" fontId="0" fillId="0" borderId="0" xfId="0" applyNumberFormat="1"/>
    <xf numFmtId="165" fontId="3" fillId="0" borderId="1" xfId="0" applyNumberFormat="1" applyFont="1" applyBorder="1" applyAlignment="1">
      <alignment horizontal="center" wrapText="1"/>
    </xf>
    <xf numFmtId="0" fontId="27" fillId="0" borderId="11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7" fillId="0" borderId="13" xfId="0" applyFont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14" fontId="27" fillId="0" borderId="13" xfId="0" applyNumberFormat="1" applyFont="1" applyBorder="1" applyAlignment="1">
      <alignment vertical="center" wrapText="1"/>
    </xf>
    <xf numFmtId="165" fontId="27" fillId="0" borderId="14" xfId="0" applyNumberFormat="1" applyFont="1" applyBorder="1" applyAlignment="1">
      <alignment vertical="center" wrapText="1"/>
    </xf>
    <xf numFmtId="14" fontId="4" fillId="0" borderId="2" xfId="0" applyNumberFormat="1" applyFont="1" applyBorder="1" applyAlignment="1">
      <alignment horizontal="left"/>
    </xf>
    <xf numFmtId="165" fontId="4" fillId="0" borderId="5" xfId="0" applyNumberFormat="1" applyFont="1" applyBorder="1" applyProtection="1">
      <protection locked="0"/>
    </xf>
    <xf numFmtId="0" fontId="29" fillId="0" borderId="0" xfId="0" applyFont="1" applyAlignment="1">
      <alignment vertical="center"/>
    </xf>
    <xf numFmtId="171" fontId="19" fillId="0" borderId="0" xfId="0" applyNumberFormat="1" applyFont="1"/>
    <xf numFmtId="171" fontId="19" fillId="0" borderId="8" xfId="0" applyNumberFormat="1" applyFont="1" applyBorder="1"/>
    <xf numFmtId="0" fontId="28" fillId="0" borderId="0" xfId="0" applyFont="1" applyAlignment="1">
      <alignment vertical="center"/>
    </xf>
    <xf numFmtId="4" fontId="0" fillId="0" borderId="0" xfId="0" applyNumberFormat="1"/>
    <xf numFmtId="171" fontId="0" fillId="0" borderId="3" xfId="0" applyNumberFormat="1" applyBorder="1"/>
    <xf numFmtId="172" fontId="0" fillId="0" borderId="4" xfId="0" applyNumberFormat="1" applyBorder="1"/>
    <xf numFmtId="172" fontId="0" fillId="0" borderId="3" xfId="0" applyNumberFormat="1" applyBorder="1"/>
    <xf numFmtId="164" fontId="0" fillId="0" borderId="0" xfId="0" applyNumberFormat="1" applyAlignment="1">
      <alignment horizontal="right"/>
    </xf>
    <xf numFmtId="0" fontId="4" fillId="0" borderId="0" xfId="0" applyFont="1" applyAlignment="1">
      <alignment horizontal="right"/>
    </xf>
    <xf numFmtId="171" fontId="4" fillId="0" borderId="0" xfId="0" applyNumberFormat="1" applyFont="1" applyAlignment="1">
      <alignment horizontal="right"/>
    </xf>
    <xf numFmtId="0" fontId="3" fillId="2" borderId="1" xfId="0" applyFont="1" applyFill="1" applyBorder="1"/>
    <xf numFmtId="14" fontId="0" fillId="0" borderId="1" xfId="0" applyNumberFormat="1" applyBorder="1"/>
    <xf numFmtId="4" fontId="3" fillId="0" borderId="1" xfId="0" applyNumberFormat="1" applyFont="1" applyBorder="1"/>
    <xf numFmtId="4" fontId="30" fillId="0" borderId="1" xfId="0" quotePrefix="1" applyNumberFormat="1" applyFont="1" applyBorder="1" applyAlignment="1">
      <alignment horizontal="right" wrapText="1"/>
    </xf>
    <xf numFmtId="2" fontId="19" fillId="0" borderId="0" xfId="0" applyNumberFormat="1" applyFont="1"/>
    <xf numFmtId="17" fontId="0" fillId="0" borderId="0" xfId="0" applyNumberFormat="1"/>
    <xf numFmtId="172" fontId="3" fillId="0" borderId="0" xfId="2" applyNumberFormat="1" applyFont="1" applyBorder="1" applyAlignment="1">
      <alignment vertical="center"/>
    </xf>
    <xf numFmtId="168" fontId="4" fillId="2" borderId="1" xfId="0" applyNumberFormat="1" applyFont="1" applyFill="1" applyBorder="1" applyAlignment="1">
      <alignment horizontal="left" wrapText="1"/>
    </xf>
    <xf numFmtId="168" fontId="4" fillId="0" borderId="1" xfId="0" applyNumberFormat="1" applyFont="1" applyBorder="1" applyAlignment="1">
      <alignment horizontal="left"/>
    </xf>
    <xf numFmtId="0" fontId="4" fillId="0" borderId="2" xfId="0" applyFont="1" applyBorder="1"/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/>
    <xf numFmtId="14" fontId="4" fillId="2" borderId="1" xfId="0" applyNumberFormat="1" applyFont="1" applyFill="1" applyBorder="1" applyAlignment="1">
      <alignment wrapText="1"/>
    </xf>
    <xf numFmtId="170" fontId="4" fillId="0" borderId="1" xfId="0" applyNumberFormat="1" applyFont="1" applyBorder="1"/>
    <xf numFmtId="170" fontId="0" fillId="0" borderId="1" xfId="0" applyNumberFormat="1" applyBorder="1"/>
    <xf numFmtId="2" fontId="4" fillId="0" borderId="1" xfId="0" applyNumberFormat="1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3" fillId="0" borderId="1" xfId="0" applyNumberFormat="1" applyFont="1" applyBorder="1"/>
    <xf numFmtId="167" fontId="3" fillId="0" borderId="1" xfId="0" applyNumberFormat="1" applyFont="1" applyBorder="1" applyProtection="1">
      <protection locked="0"/>
    </xf>
    <xf numFmtId="167" fontId="22" fillId="0" borderId="1" xfId="0" applyNumberFormat="1" applyFont="1" applyBorder="1"/>
    <xf numFmtId="0" fontId="3" fillId="0" borderId="0" xfId="3" applyFont="1"/>
    <xf numFmtId="0" fontId="4" fillId="0" borderId="0" xfId="3"/>
    <xf numFmtId="0" fontId="32" fillId="0" borderId="0" xfId="3" applyFont="1"/>
    <xf numFmtId="3" fontId="27" fillId="0" borderId="0" xfId="3" applyNumberFormat="1" applyFont="1"/>
    <xf numFmtId="0" fontId="4" fillId="0" borderId="1" xfId="3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4" fillId="3" borderId="3" xfId="0" applyFont="1" applyFill="1" applyBorder="1"/>
    <xf numFmtId="0" fontId="4" fillId="3" borderId="4" xfId="0" applyFont="1" applyFill="1" applyBorder="1"/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wrapText="1"/>
    </xf>
    <xf numFmtId="0" fontId="4" fillId="4" borderId="3" xfId="0" applyFont="1" applyFill="1" applyBorder="1"/>
    <xf numFmtId="0" fontId="4" fillId="5" borderId="1" xfId="0" applyFont="1" applyFill="1" applyBorder="1"/>
    <xf numFmtId="0" fontId="4" fillId="6" borderId="1" xfId="0" applyFont="1" applyFill="1" applyBorder="1"/>
    <xf numFmtId="0" fontId="4" fillId="0" borderId="2" xfId="0" applyFont="1" applyBorder="1" applyAlignment="1">
      <alignment wrapText="1"/>
    </xf>
    <xf numFmtId="0" fontId="3" fillId="3" borderId="5" xfId="0" applyFont="1" applyFill="1" applyBorder="1" applyAlignment="1">
      <alignment horizontal="center" wrapText="1"/>
    </xf>
    <xf numFmtId="165" fontId="3" fillId="3" borderId="5" xfId="0" applyNumberFormat="1" applyFont="1" applyFill="1" applyBorder="1" applyAlignment="1">
      <alignment horizontal="center" wrapText="1"/>
    </xf>
    <xf numFmtId="165" fontId="3" fillId="0" borderId="5" xfId="0" applyNumberFormat="1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167" fontId="4" fillId="0" borderId="0" xfId="0" applyNumberFormat="1" applyFont="1" applyAlignment="1">
      <alignment horizontal="center" wrapText="1"/>
    </xf>
    <xf numFmtId="168" fontId="4" fillId="0" borderId="2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left"/>
    </xf>
    <xf numFmtId="0" fontId="4" fillId="2" borderId="6" xfId="0" applyFont="1" applyFill="1" applyBorder="1" applyAlignment="1">
      <alignment horizontal="left" wrapText="1"/>
    </xf>
    <xf numFmtId="0" fontId="4" fillId="0" borderId="5" xfId="0" applyFont="1" applyBorder="1"/>
    <xf numFmtId="168" fontId="16" fillId="0" borderId="2" xfId="0" applyNumberFormat="1" applyFont="1" applyBorder="1"/>
    <xf numFmtId="17" fontId="10" fillId="0" borderId="2" xfId="0" quotePrefix="1" applyNumberFormat="1" applyFont="1" applyBorder="1" applyAlignment="1">
      <alignment horizontal="right" wrapText="1"/>
    </xf>
    <xf numFmtId="165" fontId="3" fillId="0" borderId="2" xfId="0" applyNumberFormat="1" applyFont="1" applyBorder="1" applyProtection="1">
      <protection locked="0"/>
    </xf>
    <xf numFmtId="169" fontId="10" fillId="0" borderId="5" xfId="0" applyNumberFormat="1" applyFont="1" applyBorder="1" applyAlignment="1">
      <alignment wrapText="1"/>
    </xf>
    <xf numFmtId="165" fontId="3" fillId="0" borderId="5" xfId="0" applyNumberFormat="1" applyFont="1" applyBorder="1" applyProtection="1">
      <protection locked="0"/>
    </xf>
    <xf numFmtId="165" fontId="3" fillId="0" borderId="5" xfId="0" applyNumberFormat="1" applyFont="1" applyBorder="1" applyAlignment="1" applyProtection="1">
      <alignment horizontal="right"/>
      <protection locked="0"/>
    </xf>
    <xf numFmtId="169" fontId="10" fillId="0" borderId="5" xfId="0" applyNumberFormat="1" applyFont="1" applyBorder="1"/>
    <xf numFmtId="169" fontId="9" fillId="0" borderId="5" xfId="0" applyNumberFormat="1" applyFont="1" applyBorder="1"/>
    <xf numFmtId="165" fontId="3" fillId="0" borderId="0" xfId="0" applyNumberFormat="1" applyFont="1" applyProtection="1">
      <protection locked="0"/>
    </xf>
    <xf numFmtId="169" fontId="9" fillId="0" borderId="0" xfId="0" applyNumberFormat="1" applyFont="1"/>
    <xf numFmtId="169" fontId="10" fillId="0" borderId="0" xfId="0" applyNumberFormat="1" applyFont="1"/>
    <xf numFmtId="169" fontId="15" fillId="0" borderId="0" xfId="0" applyNumberFormat="1" applyFont="1"/>
    <xf numFmtId="168" fontId="3" fillId="0" borderId="2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4" fontId="3" fillId="0" borderId="6" xfId="0" quotePrefix="1" applyNumberFormat="1" applyFont="1" applyBorder="1"/>
    <xf numFmtId="17" fontId="10" fillId="0" borderId="6" xfId="0" quotePrefix="1" applyNumberFormat="1" applyFont="1" applyBorder="1"/>
    <xf numFmtId="4" fontId="30" fillId="0" borderId="6" xfId="0" quotePrefix="1" applyNumberFormat="1" applyFont="1" applyBorder="1" applyAlignment="1">
      <alignment horizontal="right" wrapText="1"/>
    </xf>
    <xf numFmtId="4" fontId="10" fillId="0" borderId="6" xfId="0" quotePrefix="1" applyNumberFormat="1" applyFont="1" applyBorder="1" applyAlignment="1">
      <alignment horizontal="right"/>
    </xf>
    <xf numFmtId="165" fontId="3" fillId="0" borderId="6" xfId="0" applyNumberFormat="1" applyFont="1" applyBorder="1" applyProtection="1">
      <protection locked="0"/>
    </xf>
    <xf numFmtId="4" fontId="9" fillId="0" borderId="6" xfId="0" applyNumberFormat="1" applyFont="1" applyBorder="1"/>
    <xf numFmtId="169" fontId="10" fillId="0" borderId="6" xfId="0" applyNumberFormat="1" applyFont="1" applyBorder="1" applyAlignment="1">
      <alignment wrapText="1"/>
    </xf>
    <xf numFmtId="165" fontId="3" fillId="0" borderId="6" xfId="0" applyNumberFormat="1" applyFont="1" applyBorder="1" applyAlignment="1">
      <alignment horizontal="left" wrapText="1"/>
    </xf>
    <xf numFmtId="165" fontId="3" fillId="0" borderId="6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0" fillId="0" borderId="1" xfId="0" applyFont="1" applyBorder="1" applyAlignment="1">
      <alignment horizontal="left" wrapText="1"/>
    </xf>
    <xf numFmtId="165" fontId="20" fillId="0" borderId="1" xfId="0" applyNumberFormat="1" applyFont="1" applyBorder="1" applyAlignment="1">
      <alignment horizontal="left" wrapText="1"/>
    </xf>
    <xf numFmtId="0" fontId="2" fillId="0" borderId="0" xfId="4"/>
    <xf numFmtId="174" fontId="2" fillId="0" borderId="0" xfId="4" applyNumberFormat="1"/>
    <xf numFmtId="20" fontId="2" fillId="0" borderId="0" xfId="4" applyNumberFormat="1"/>
    <xf numFmtId="15" fontId="2" fillId="0" borderId="0" xfId="4" applyNumberFormat="1"/>
    <xf numFmtId="170" fontId="2" fillId="0" borderId="0" xfId="4" applyNumberFormat="1"/>
    <xf numFmtId="0" fontId="4" fillId="0" borderId="0" xfId="4" applyFont="1"/>
    <xf numFmtId="0" fontId="2" fillId="0" borderId="0" xfId="4" applyAlignment="1">
      <alignment wrapText="1"/>
    </xf>
    <xf numFmtId="0" fontId="34" fillId="0" borderId="0" xfId="4" applyFont="1"/>
    <xf numFmtId="174" fontId="34" fillId="0" borderId="0" xfId="4" applyNumberFormat="1" applyFont="1"/>
    <xf numFmtId="1" fontId="2" fillId="0" borderId="0" xfId="4" applyNumberFormat="1"/>
    <xf numFmtId="0" fontId="1" fillId="0" borderId="0" xfId="4" applyFont="1"/>
    <xf numFmtId="167" fontId="2" fillId="0" borderId="0" xfId="4" applyNumberFormat="1"/>
    <xf numFmtId="167" fontId="35" fillId="0" borderId="0" xfId="4" applyNumberFormat="1" applyFont="1"/>
    <xf numFmtId="167" fontId="33" fillId="0" borderId="0" xfId="4" applyNumberFormat="1" applyFont="1"/>
    <xf numFmtId="167" fontId="34" fillId="0" borderId="0" xfId="4" applyNumberFormat="1" applyFont="1"/>
    <xf numFmtId="167" fontId="36" fillId="0" borderId="0" xfId="4" applyNumberFormat="1" applyFont="1"/>
    <xf numFmtId="168" fontId="16" fillId="0" borderId="0" xfId="0" applyNumberFormat="1" applyFont="1" applyAlignment="1">
      <alignment wrapText="1"/>
    </xf>
    <xf numFmtId="165" fontId="0" fillId="0" borderId="1" xfId="0" applyNumberFormat="1" applyBorder="1"/>
    <xf numFmtId="0" fontId="0" fillId="0" borderId="9" xfId="0" applyBorder="1"/>
    <xf numFmtId="0" fontId="37" fillId="0" borderId="0" xfId="4" applyFont="1"/>
    <xf numFmtId="4" fontId="17" fillId="0" borderId="1" xfId="0" applyNumberFormat="1" applyFont="1" applyBorder="1" applyAlignment="1">
      <alignment horizontal="center" wrapText="1"/>
    </xf>
    <xf numFmtId="167" fontId="37" fillId="0" borderId="0" xfId="4" applyNumberFormat="1" applyFont="1"/>
    <xf numFmtId="167" fontId="2" fillId="0" borderId="15" xfId="4" applyNumberFormat="1" applyBorder="1"/>
    <xf numFmtId="167" fontId="2" fillId="0" borderId="16" xfId="4" applyNumberFormat="1" applyBorder="1"/>
    <xf numFmtId="167" fontId="34" fillId="0" borderId="16" xfId="4" applyNumberFormat="1" applyFont="1" applyBorder="1"/>
    <xf numFmtId="167" fontId="2" fillId="0" borderId="17" xfId="4" applyNumberFormat="1" applyBorder="1"/>
    <xf numFmtId="0" fontId="3" fillId="0" borderId="18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3" fillId="0" borderId="19" xfId="0" applyFont="1" applyBorder="1" applyAlignment="1">
      <alignment horizontal="left" wrapText="1"/>
    </xf>
    <xf numFmtId="0" fontId="3" fillId="0" borderId="19" xfId="0" applyFont="1" applyBorder="1" applyAlignment="1">
      <alignment horizontal="center" wrapText="1"/>
    </xf>
    <xf numFmtId="167" fontId="34" fillId="0" borderId="17" xfId="4" applyNumberFormat="1" applyFont="1" applyBorder="1"/>
    <xf numFmtId="0" fontId="38" fillId="0" borderId="0" xfId="0" applyFont="1" applyAlignment="1">
      <alignment horizontal="left"/>
    </xf>
    <xf numFmtId="167" fontId="3" fillId="0" borderId="1" xfId="0" applyNumberFormat="1" applyFont="1" applyBorder="1"/>
    <xf numFmtId="0" fontId="39" fillId="0" borderId="0" xfId="4" applyFont="1"/>
    <xf numFmtId="167" fontId="39" fillId="0" borderId="0" xfId="4" applyNumberFormat="1" applyFont="1"/>
    <xf numFmtId="167" fontId="40" fillId="0" borderId="0" xfId="4" applyNumberFormat="1" applyFont="1"/>
    <xf numFmtId="166" fontId="0" fillId="0" borderId="0" xfId="0" applyNumberFormat="1"/>
    <xf numFmtId="166" fontId="19" fillId="7" borderId="0" xfId="0" applyNumberFormat="1" applyFont="1" applyFill="1"/>
    <xf numFmtId="0" fontId="19" fillId="7" borderId="0" xfId="0" applyFont="1" applyFill="1"/>
    <xf numFmtId="0" fontId="0" fillId="7" borderId="0" xfId="0" applyFill="1"/>
    <xf numFmtId="167" fontId="3" fillId="0" borderId="6" xfId="2" applyNumberFormat="1" applyFont="1" applyBorder="1"/>
    <xf numFmtId="17" fontId="4" fillId="0" borderId="1" xfId="3" applyNumberFormat="1" applyBorder="1"/>
    <xf numFmtId="0" fontId="21" fillId="0" borderId="0" xfId="0" applyFont="1"/>
    <xf numFmtId="168" fontId="41" fillId="0" borderId="9" xfId="0" applyNumberFormat="1" applyFont="1" applyBorder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/>
    <xf numFmtId="165" fontId="21" fillId="0" borderId="0" xfId="0" applyNumberFormat="1" applyFont="1"/>
    <xf numFmtId="0" fontId="42" fillId="0" borderId="0" xfId="0" applyFont="1"/>
    <xf numFmtId="4" fontId="21" fillId="0" borderId="0" xfId="0" applyNumberFormat="1" applyFont="1"/>
    <xf numFmtId="4" fontId="41" fillId="0" borderId="6" xfId="0" applyNumberFormat="1" applyFont="1" applyBorder="1" applyAlignment="1">
      <alignment wrapText="1"/>
    </xf>
    <xf numFmtId="165" fontId="21" fillId="0" borderId="1" xfId="0" applyNumberFormat="1" applyFont="1" applyBorder="1" applyProtection="1">
      <protection locked="0"/>
    </xf>
    <xf numFmtId="4" fontId="17" fillId="3" borderId="1" xfId="0" applyNumberFormat="1" applyFont="1" applyFill="1" applyBorder="1" applyAlignment="1">
      <alignment horizontal="center" wrapText="1"/>
    </xf>
    <xf numFmtId="165" fontId="17" fillId="0" borderId="1" xfId="0" applyNumberFormat="1" applyFont="1" applyBorder="1" applyProtection="1">
      <protection locked="0"/>
    </xf>
    <xf numFmtId="4" fontId="17" fillId="0" borderId="6" xfId="0" applyNumberFormat="1" applyFont="1" applyBorder="1" applyAlignment="1">
      <alignment horizontal="center" wrapText="1"/>
    </xf>
    <xf numFmtId="165" fontId="17" fillId="0" borderId="1" xfId="0" applyNumberFormat="1" applyFont="1" applyBorder="1" applyAlignment="1" applyProtection="1">
      <alignment horizontal="right"/>
      <protection locked="0"/>
    </xf>
    <xf numFmtId="4" fontId="21" fillId="0" borderId="1" xfId="0" applyNumberFormat="1" applyFont="1" applyBorder="1"/>
    <xf numFmtId="4" fontId="17" fillId="0" borderId="1" xfId="0" applyNumberFormat="1" applyFont="1" applyBorder="1" applyAlignment="1" applyProtection="1">
      <alignment horizontal="right"/>
      <protection locked="0"/>
    </xf>
    <xf numFmtId="4" fontId="43" fillId="0" borderId="0" xfId="0" applyNumberFormat="1" applyFont="1" applyAlignment="1">
      <alignment horizontal="center"/>
    </xf>
    <xf numFmtId="4" fontId="21" fillId="0" borderId="0" xfId="0" applyNumberFormat="1" applyFont="1" applyAlignment="1">
      <alignment horizontal="center"/>
    </xf>
    <xf numFmtId="165" fontId="4" fillId="7" borderId="1" xfId="0" applyNumberFormat="1" applyFont="1" applyFill="1" applyBorder="1" applyProtection="1">
      <protection locked="0"/>
    </xf>
    <xf numFmtId="0" fontId="34" fillId="0" borderId="0" xfId="4" applyFont="1" applyAlignment="1">
      <alignment horizontal="center"/>
    </xf>
    <xf numFmtId="171" fontId="3" fillId="0" borderId="1" xfId="0" applyNumberFormat="1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4" fillId="0" borderId="2" xfId="0" applyFont="1" applyBorder="1" applyAlignment="1"/>
    <xf numFmtId="0" fontId="0" fillId="0" borderId="5" xfId="0" applyBorder="1" applyAlignment="1"/>
    <xf numFmtId="171" fontId="0" fillId="0" borderId="0" xfId="0" applyNumberFormat="1" applyAlignment="1"/>
    <xf numFmtId="0" fontId="0" fillId="0" borderId="0" xfId="0" applyAlignment="1"/>
  </cellXfs>
  <cellStyles count="5">
    <cellStyle name="Comma" xfId="2" builtinId="3"/>
    <cellStyle name="Normal" xfId="0" builtinId="0"/>
    <cellStyle name="Normal 2" xfId="3" xr:uid="{27AF20D0-F34B-4FF9-A93E-9983811E9CD0}"/>
    <cellStyle name="Normal 3" xfId="4" xr:uid="{84F9C8B6-2968-4612-A2BC-1D8121DB4E4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lia\AppData\Local\Microsoft\Windows\Temporary%20Internet%20Files\Content.Outlook\NGC3H9NK\Year%20End%2031st%20March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lia\AppData\Local\Microsoft\Windows\Temporary%20Internet%20Files\Content.Outlook\NGC3H9NK\Year%20End%2031st%20March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ment of Accounts"/>
      <sheetName val="Bank Balance"/>
      <sheetName val="Year end spend v budget"/>
      <sheetName val="Risk Assessment"/>
      <sheetName val="Asset Register"/>
    </sheetNames>
    <sheetDataSet>
      <sheetData sheetId="0" refreshError="1"/>
      <sheetData sheetId="1" refreshError="1"/>
      <sheetData sheetId="2" refreshError="1">
        <row r="2">
          <cell r="B2">
            <v>5174.3499999999995</v>
          </cell>
          <cell r="C2">
            <v>3825.4079999999999</v>
          </cell>
        </row>
        <row r="3">
          <cell r="B3">
            <v>217.26</v>
          </cell>
          <cell r="C3">
            <v>1141</v>
          </cell>
        </row>
        <row r="4">
          <cell r="B4">
            <v>1750.82</v>
          </cell>
          <cell r="C4">
            <v>879</v>
          </cell>
        </row>
        <row r="5">
          <cell r="B5">
            <v>1016.51</v>
          </cell>
          <cell r="C5">
            <v>1010</v>
          </cell>
        </row>
        <row r="6">
          <cell r="B6">
            <v>135</v>
          </cell>
          <cell r="C6">
            <v>128</v>
          </cell>
        </row>
        <row r="7">
          <cell r="B7">
            <v>240</v>
          </cell>
          <cell r="C7">
            <v>240</v>
          </cell>
        </row>
        <row r="8">
          <cell r="B8">
            <v>988.49</v>
          </cell>
          <cell r="C8">
            <v>664</v>
          </cell>
        </row>
        <row r="9">
          <cell r="B9">
            <v>2844</v>
          </cell>
          <cell r="C9">
            <v>2652</v>
          </cell>
        </row>
        <row r="10">
          <cell r="B10">
            <v>78.790000000000006</v>
          </cell>
          <cell r="C10">
            <v>78</v>
          </cell>
        </row>
        <row r="11">
          <cell r="B11">
            <v>23252.949999999997</v>
          </cell>
          <cell r="C11">
            <v>1836</v>
          </cell>
        </row>
        <row r="12">
          <cell r="B12">
            <v>666</v>
          </cell>
          <cell r="C12">
            <v>1836</v>
          </cell>
        </row>
        <row r="13">
          <cell r="B13">
            <v>0</v>
          </cell>
          <cell r="C13">
            <v>280</v>
          </cell>
        </row>
        <row r="14">
          <cell r="B14">
            <v>2182.4</v>
          </cell>
          <cell r="C14">
            <v>1071</v>
          </cell>
        </row>
        <row r="15">
          <cell r="B15">
            <v>1900.08</v>
          </cell>
          <cell r="C15">
            <v>1071</v>
          </cell>
        </row>
        <row r="16">
          <cell r="B16">
            <v>486.62</v>
          </cell>
          <cell r="C16">
            <v>1500</v>
          </cell>
        </row>
        <row r="17">
          <cell r="B17">
            <v>250</v>
          </cell>
          <cell r="C17">
            <v>400</v>
          </cell>
        </row>
        <row r="18">
          <cell r="B18">
            <v>480</v>
          </cell>
          <cell r="C18">
            <v>15000</v>
          </cell>
        </row>
        <row r="19">
          <cell r="B19">
            <v>0</v>
          </cell>
          <cell r="C19"/>
        </row>
        <row r="20">
          <cell r="B20">
            <v>1541.82</v>
          </cell>
          <cell r="C20">
            <v>1540</v>
          </cell>
        </row>
        <row r="21">
          <cell r="B21">
            <v>2334.2800000000002</v>
          </cell>
          <cell r="C21">
            <v>2334</v>
          </cell>
        </row>
        <row r="22">
          <cell r="B22">
            <v>1663.3</v>
          </cell>
          <cell r="C22">
            <v>1662</v>
          </cell>
        </row>
        <row r="23">
          <cell r="B23">
            <v>388.56</v>
          </cell>
          <cell r="C23">
            <v>1020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F3">
            <v>3901.9161599999998</v>
          </cell>
        </row>
        <row r="4">
          <cell r="F4">
            <v>1164.145176</v>
          </cell>
        </row>
        <row r="5">
          <cell r="F5">
            <v>896.82479999999998</v>
          </cell>
        </row>
        <row r="6">
          <cell r="F6">
            <v>1036.2384</v>
          </cell>
        </row>
        <row r="7">
          <cell r="F7">
            <v>249.696</v>
          </cell>
        </row>
        <row r="8">
          <cell r="F8">
            <v>130.05000000000001</v>
          </cell>
        </row>
        <row r="9">
          <cell r="F9">
            <v>690</v>
          </cell>
        </row>
        <row r="10">
          <cell r="F10">
            <v>2705.04</v>
          </cell>
        </row>
        <row r="11">
          <cell r="F11">
            <v>204</v>
          </cell>
        </row>
        <row r="12">
          <cell r="F12">
            <v>3746</v>
          </cell>
        </row>
        <row r="13">
          <cell r="F13">
            <v>291.31200000000001</v>
          </cell>
        </row>
        <row r="14">
          <cell r="F14">
            <v>1000</v>
          </cell>
        </row>
        <row r="15">
          <cell r="F15">
            <v>1000</v>
          </cell>
        </row>
        <row r="16">
          <cell r="F16">
            <v>1540</v>
          </cell>
        </row>
        <row r="17">
          <cell r="F17">
            <v>2334</v>
          </cell>
        </row>
        <row r="18">
          <cell r="F18">
            <v>1662</v>
          </cell>
        </row>
        <row r="19">
          <cell r="F19">
            <v>5000</v>
          </cell>
        </row>
        <row r="20">
          <cell r="F20">
            <v>100</v>
          </cell>
        </row>
        <row r="21">
          <cell r="F21">
            <v>1500</v>
          </cell>
        </row>
        <row r="22">
          <cell r="F22">
            <v>1500</v>
          </cell>
        </row>
        <row r="23">
          <cell r="F23">
            <v>400</v>
          </cell>
        </row>
        <row r="24">
          <cell r="F24">
            <v>1000</v>
          </cell>
        </row>
        <row r="25">
          <cell r="F25">
            <v>125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ulia Shelley" id="{AFD356CC-6249-4F3D-9796-9EBD1DB53AC3}" userId="750402cd0cd3f4fa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68" dT="2022-04-12T15:28:09.22" personId="{AFD356CC-6249-4F3D-9796-9EBD1DB53AC3}" id="{EB05EA88-78E3-4D29-91B2-A235DF6F6A3D}">
    <text>WAS UNCLEARED IN 2020 - 21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8"/>
  <sheetViews>
    <sheetView zoomScaleNormal="100" workbookViewId="0">
      <selection activeCell="F15" sqref="F15"/>
    </sheetView>
  </sheetViews>
  <sheetFormatPr defaultRowHeight="12.75"/>
  <cols>
    <col min="1" max="1" width="35.7109375" customWidth="1"/>
    <col min="2" max="2" width="12.5703125" customWidth="1"/>
    <col min="3" max="3" width="49.140625" style="96" customWidth="1"/>
    <col min="4" max="4" width="13.42578125" style="46" customWidth="1"/>
    <col min="5" max="5" width="15.28515625" style="46" customWidth="1"/>
    <col min="6" max="6" width="43.42578125" customWidth="1"/>
    <col min="7" max="7" width="12.5703125" customWidth="1"/>
    <col min="8" max="8" width="17.7109375" customWidth="1"/>
    <col min="9" max="9" width="16.28515625" style="10" customWidth="1"/>
    <col min="10" max="11" width="10.28515625" bestFit="1" customWidth="1"/>
  </cols>
  <sheetData>
    <row r="1" spans="1:11">
      <c r="A1" s="5"/>
      <c r="B1" s="3" t="s">
        <v>0</v>
      </c>
      <c r="C1" s="95"/>
      <c r="D1" s="195"/>
      <c r="E1" s="195" t="s">
        <v>1</v>
      </c>
    </row>
    <row r="2" spans="1:11">
      <c r="A2" s="5"/>
      <c r="B2" s="5"/>
      <c r="C2" s="95"/>
      <c r="D2" s="196"/>
      <c r="E2" s="196"/>
    </row>
    <row r="3" spans="1:11">
      <c r="A3" s="5"/>
      <c r="B3" s="5"/>
      <c r="C3" s="95"/>
      <c r="D3" s="196"/>
      <c r="E3" s="196"/>
    </row>
    <row r="4" spans="1:11">
      <c r="A4" s="5"/>
      <c r="B4" s="5"/>
      <c r="C4" s="95"/>
      <c r="D4" s="196"/>
      <c r="E4" s="196"/>
    </row>
    <row r="5" spans="1:11">
      <c r="A5" s="5"/>
      <c r="B5" s="5"/>
      <c r="C5" s="95"/>
      <c r="D5" s="196"/>
      <c r="E5" s="196"/>
      <c r="F5" s="96">
        <f>C6+C9+C13</f>
        <v>93926.45</v>
      </c>
    </row>
    <row r="6" spans="1:11">
      <c r="A6" s="3" t="s">
        <v>2</v>
      </c>
      <c r="B6" s="197"/>
      <c r="C6" s="201">
        <v>38902.629999999997</v>
      </c>
      <c r="D6" s="197"/>
      <c r="E6" s="9"/>
      <c r="F6" s="96">
        <f>C15+C16+C17</f>
        <v>53773.130000000012</v>
      </c>
      <c r="H6" s="11" t="s">
        <v>3</v>
      </c>
      <c r="I6" s="10">
        <f>'Main Acc'!E144+'Uniity Bank Transactions'!G6+'Saving Acc'!D3</f>
        <v>49568.03</v>
      </c>
      <c r="J6" s="26"/>
      <c r="K6" s="26"/>
    </row>
    <row r="7" spans="1:11">
      <c r="A7" s="198" t="s">
        <v>4</v>
      </c>
      <c r="B7" s="199">
        <f>'Main Acc'!V62+'Uniity Bank Transactions'!I81</f>
        <v>33764</v>
      </c>
      <c r="C7" s="95"/>
      <c r="D7" s="9"/>
      <c r="E7" s="9"/>
      <c r="F7" s="96">
        <f>F5-F6</f>
        <v>40153.319999999985</v>
      </c>
      <c r="I7" s="10">
        <f>I6-C6</f>
        <v>10665.400000000001</v>
      </c>
      <c r="J7">
        <v>10565.4</v>
      </c>
      <c r="K7" s="26"/>
    </row>
    <row r="8" spans="1:11">
      <c r="A8" s="198" t="s">
        <v>5</v>
      </c>
      <c r="B8" s="199">
        <v>0</v>
      </c>
      <c r="C8" s="201"/>
      <c r="D8" s="9"/>
      <c r="E8" s="9"/>
    </row>
    <row r="9" spans="1:11">
      <c r="A9" s="3" t="s">
        <v>6</v>
      </c>
      <c r="B9" s="199"/>
      <c r="C9" s="95">
        <f>'Main Acc'!V62+'Uniity Bank Transactions'!I81</f>
        <v>33764</v>
      </c>
      <c r="D9" s="9"/>
      <c r="E9" s="9"/>
    </row>
    <row r="10" spans="1:11">
      <c r="A10" s="198" t="s">
        <v>7</v>
      </c>
      <c r="B10" s="199">
        <f>'Main Acc'!T62-'Accounting Statement'!C9</f>
        <v>17158.229999999996</v>
      </c>
      <c r="C10" s="95"/>
      <c r="D10" s="9"/>
      <c r="E10" s="9"/>
    </row>
    <row r="11" spans="1:11">
      <c r="A11" s="198" t="s">
        <v>8</v>
      </c>
      <c r="B11" s="199">
        <f>'Uniity Bank Transactions'!N84</f>
        <v>3575</v>
      </c>
      <c r="C11" s="95"/>
      <c r="D11" s="9"/>
      <c r="E11" s="9"/>
    </row>
    <row r="12" spans="1:11">
      <c r="A12" s="198" t="s">
        <v>9</v>
      </c>
      <c r="B12" s="199">
        <f>'Saving Acc'!C17</f>
        <v>526.59</v>
      </c>
      <c r="C12" s="95"/>
      <c r="D12" s="9"/>
      <c r="E12" s="9"/>
    </row>
    <row r="13" spans="1:11">
      <c r="A13" s="3" t="s">
        <v>10</v>
      </c>
      <c r="B13" s="197"/>
      <c r="C13" s="95">
        <f>SUM(B10:B12)</f>
        <v>21259.819999999996</v>
      </c>
      <c r="D13" s="9"/>
      <c r="E13" s="9"/>
    </row>
    <row r="14" spans="1:11">
      <c r="A14" s="198" t="s">
        <v>11</v>
      </c>
      <c r="B14" s="199"/>
      <c r="C14" s="202"/>
      <c r="D14" s="199">
        <f>C9+C13</f>
        <v>55023.819999999992</v>
      </c>
      <c r="E14" s="9">
        <f>'Main Acc'!T62+'Saving Acc'!C17+'Uniity Bank Transactions'!N84+'Uniity Bank Transactions'!I81</f>
        <v>55023.819999999992</v>
      </c>
    </row>
    <row r="15" spans="1:11">
      <c r="A15" s="3" t="s">
        <v>12</v>
      </c>
      <c r="B15" s="197"/>
      <c r="C15" s="95">
        <f>'Main Acc'!AD142+'Uniity Bank Transactions'!Q81</f>
        <v>11074.310000000001</v>
      </c>
      <c r="D15" s="9"/>
      <c r="E15" s="9"/>
      <c r="F15" s="294"/>
    </row>
    <row r="16" spans="1:11">
      <c r="A16" s="3" t="s">
        <v>13</v>
      </c>
      <c r="B16" s="197"/>
      <c r="C16" s="95">
        <f>'Main Acc'!AW142+'Main Acc'!AX142+SUM('Uniity Bank Transactions'!AJ81:AK81)</f>
        <v>2709.13</v>
      </c>
      <c r="D16" s="9"/>
      <c r="E16" s="9"/>
      <c r="F16" s="294" t="s">
        <v>14</v>
      </c>
    </row>
    <row r="17" spans="1:10">
      <c r="A17" s="3" t="s">
        <v>15</v>
      </c>
      <c r="B17" s="197"/>
      <c r="C17" s="95">
        <f>'Main Acc'!T142+'Uniity Bank Transactions'!U84-C15-C16-'Main Acc'!T125-'Main Acc'!T138</f>
        <v>39989.69000000001</v>
      </c>
      <c r="D17" s="9"/>
      <c r="E17" s="9"/>
      <c r="F17" s="294" t="s">
        <v>16</v>
      </c>
    </row>
    <row r="18" spans="1:10">
      <c r="A18" s="198" t="s">
        <v>11</v>
      </c>
      <c r="B18" s="199"/>
      <c r="C18" s="202"/>
      <c r="D18" s="199">
        <f>C15+C16+C17</f>
        <v>53773.130000000012</v>
      </c>
      <c r="E18" s="9">
        <f>'Main Acc'!T142+'Uniity Bank Transactions'!U84</f>
        <v>66773.13</v>
      </c>
    </row>
    <row r="19" spans="1:10">
      <c r="A19" s="3" t="s">
        <v>17</v>
      </c>
      <c r="B19" s="197"/>
      <c r="C19" s="95"/>
      <c r="D19" s="9">
        <f>C6+D14-D18</f>
        <v>40153.319999999971</v>
      </c>
      <c r="E19" s="200"/>
    </row>
    <row r="20" spans="1:10">
      <c r="A20" s="5"/>
      <c r="B20" s="9"/>
      <c r="C20" s="95"/>
      <c r="D20" s="9"/>
      <c r="E20" s="9"/>
      <c r="F20" s="11"/>
    </row>
    <row r="21" spans="1:10">
      <c r="A21" s="5"/>
      <c r="B21" s="9"/>
      <c r="C21" s="95"/>
      <c r="D21" s="9"/>
      <c r="E21" s="9"/>
    </row>
    <row r="22" spans="1:10">
      <c r="A22" s="198" t="s">
        <v>18</v>
      </c>
      <c r="B22" s="199">
        <v>8510.57</v>
      </c>
      <c r="C22" s="202"/>
      <c r="D22" s="9"/>
      <c r="E22" s="9"/>
      <c r="I22" s="186"/>
      <c r="J22" s="186"/>
    </row>
    <row r="23" spans="1:10">
      <c r="A23" s="198" t="s">
        <v>19</v>
      </c>
      <c r="B23" s="199">
        <f>'Saving Acc'!D21</f>
        <v>30299.54</v>
      </c>
      <c r="C23" s="202"/>
      <c r="D23" s="196"/>
      <c r="E23" s="9"/>
    </row>
    <row r="24" spans="1:10">
      <c r="A24" s="198" t="s">
        <v>20</v>
      </c>
      <c r="B24" s="199">
        <f>'Uniity Bank Transactions'!G79</f>
        <v>1343.21</v>
      </c>
      <c r="C24" s="202"/>
      <c r="D24" s="9"/>
      <c r="E24" s="9"/>
    </row>
    <row r="25" spans="1:10">
      <c r="A25" s="3" t="s">
        <v>21</v>
      </c>
      <c r="B25" s="199"/>
      <c r="C25" s="287">
        <f>SUM(B22:B24)</f>
        <v>40153.32</v>
      </c>
      <c r="D25" s="9"/>
      <c r="E25" s="9"/>
      <c r="I25" s="10">
        <f>C25-D19</f>
        <v>0</v>
      </c>
    </row>
    <row r="26" spans="1:10">
      <c r="A26" s="198"/>
      <c r="B26" s="199"/>
      <c r="C26" s="202"/>
      <c r="D26" s="9"/>
      <c r="E26" s="9"/>
      <c r="F26" s="10"/>
      <c r="J26" s="96"/>
    </row>
    <row r="27" spans="1:10">
      <c r="A27" s="5"/>
      <c r="B27" s="5"/>
      <c r="C27" s="95"/>
      <c r="D27" s="196"/>
      <c r="E27" s="196"/>
    </row>
    <row r="38" spans="11:11">
      <c r="K38" s="26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F34"/>
  <sheetViews>
    <sheetView topLeftCell="A22" workbookViewId="0">
      <selection activeCell="H27" sqref="H27"/>
    </sheetView>
  </sheetViews>
  <sheetFormatPr defaultRowHeight="12.75"/>
  <cols>
    <col min="1" max="1" width="10.7109375" bestFit="1" customWidth="1"/>
    <col min="2" max="2" width="10" bestFit="1" customWidth="1"/>
    <col min="5" max="5" width="8.7109375" bestFit="1" customWidth="1"/>
  </cols>
  <sheetData>
    <row r="1" spans="1:6" ht="30.75" thickBot="1">
      <c r="A1" s="163" t="s">
        <v>508</v>
      </c>
      <c r="B1" s="164" t="s">
        <v>509</v>
      </c>
      <c r="C1" s="164" t="s">
        <v>510</v>
      </c>
      <c r="D1" s="164" t="s">
        <v>25</v>
      </c>
      <c r="E1" s="164" t="s">
        <v>511</v>
      </c>
      <c r="F1" s="164" t="s">
        <v>512</v>
      </c>
    </row>
    <row r="2" spans="1:6" ht="45.75" thickBot="1">
      <c r="A2" s="165" t="s">
        <v>513</v>
      </c>
      <c r="B2" s="166">
        <v>167413406</v>
      </c>
      <c r="C2" s="166" t="s">
        <v>514</v>
      </c>
      <c r="D2" s="166" t="s">
        <v>194</v>
      </c>
      <c r="E2" s="166" t="s">
        <v>515</v>
      </c>
      <c r="F2" s="166">
        <v>15.32</v>
      </c>
    </row>
    <row r="3" spans="1:6" ht="60.75" thickBot="1">
      <c r="A3" s="167">
        <v>42664</v>
      </c>
      <c r="B3" s="166">
        <v>690705621</v>
      </c>
      <c r="C3" s="166" t="s">
        <v>516</v>
      </c>
      <c r="D3" s="166" t="s">
        <v>517</v>
      </c>
      <c r="E3" s="166" t="s">
        <v>515</v>
      </c>
      <c r="F3" s="166">
        <v>136.80000000000001</v>
      </c>
    </row>
    <row r="4" spans="1:6" ht="60.75" thickBot="1">
      <c r="A4" s="167">
        <v>42695</v>
      </c>
      <c r="B4" s="166">
        <v>690705621</v>
      </c>
      <c r="C4" s="166" t="s">
        <v>516</v>
      </c>
      <c r="D4" s="166" t="s">
        <v>517</v>
      </c>
      <c r="E4" s="166" t="s">
        <v>515</v>
      </c>
      <c r="F4" s="166">
        <v>37.200000000000003</v>
      </c>
    </row>
    <row r="5" spans="1:6" ht="60.75" thickBot="1">
      <c r="A5" s="167">
        <v>42697</v>
      </c>
      <c r="B5" s="166">
        <v>690705621</v>
      </c>
      <c r="C5" s="166" t="s">
        <v>516</v>
      </c>
      <c r="D5" s="166" t="s">
        <v>517</v>
      </c>
      <c r="E5" s="166" t="s">
        <v>515</v>
      </c>
      <c r="F5" s="166">
        <v>113.06</v>
      </c>
    </row>
    <row r="6" spans="1:6" ht="45.75" thickBot="1">
      <c r="A6" s="167">
        <v>42698</v>
      </c>
      <c r="B6" s="166">
        <v>440498250</v>
      </c>
      <c r="C6" s="166" t="s">
        <v>518</v>
      </c>
      <c r="D6" s="166" t="s">
        <v>519</v>
      </c>
      <c r="E6" s="166" t="s">
        <v>515</v>
      </c>
      <c r="F6" s="166">
        <v>48</v>
      </c>
    </row>
    <row r="7" spans="1:6" ht="45.75" thickBot="1">
      <c r="A7" s="167">
        <v>42699</v>
      </c>
      <c r="B7" s="166">
        <v>439475808</v>
      </c>
      <c r="C7" s="166" t="s">
        <v>205</v>
      </c>
      <c r="D7" s="166" t="s">
        <v>520</v>
      </c>
      <c r="E7" s="166" t="s">
        <v>515</v>
      </c>
      <c r="F7" s="166">
        <v>29.65</v>
      </c>
    </row>
    <row r="8" spans="1:6" ht="45.75" thickBot="1">
      <c r="A8" s="167">
        <v>42704</v>
      </c>
      <c r="B8" s="166">
        <v>167413406</v>
      </c>
      <c r="C8" s="166" t="s">
        <v>514</v>
      </c>
      <c r="D8" s="166" t="s">
        <v>194</v>
      </c>
      <c r="E8" s="166" t="s">
        <v>515</v>
      </c>
      <c r="F8" s="166">
        <v>15.6</v>
      </c>
    </row>
    <row r="9" spans="1:6" ht="60.75" thickBot="1">
      <c r="A9" s="167">
        <v>42709</v>
      </c>
      <c r="B9" s="166">
        <v>730221390</v>
      </c>
      <c r="C9" s="166" t="s">
        <v>521</v>
      </c>
      <c r="D9" s="166" t="s">
        <v>522</v>
      </c>
      <c r="E9" s="166" t="s">
        <v>515</v>
      </c>
      <c r="F9" s="166">
        <v>146.4</v>
      </c>
    </row>
    <row r="10" spans="1:6" ht="60.75" thickBot="1">
      <c r="A10" s="167">
        <v>42733</v>
      </c>
      <c r="B10" s="166">
        <v>730221390</v>
      </c>
      <c r="C10" s="166" t="s">
        <v>521</v>
      </c>
      <c r="D10" s="166" t="s">
        <v>522</v>
      </c>
      <c r="E10" s="166" t="s">
        <v>515</v>
      </c>
      <c r="F10" s="166">
        <v>1477.44</v>
      </c>
    </row>
    <row r="11" spans="1:6" ht="45.75" thickBot="1">
      <c r="A11" s="167">
        <v>42782</v>
      </c>
      <c r="B11" s="166">
        <v>190157175</v>
      </c>
      <c r="C11" s="166" t="s">
        <v>523</v>
      </c>
      <c r="D11" s="166" t="s">
        <v>524</v>
      </c>
      <c r="E11" s="166" t="s">
        <v>515</v>
      </c>
      <c r="F11" s="166">
        <v>14.75</v>
      </c>
    </row>
    <row r="12" spans="1:6" ht="75.75" thickBot="1">
      <c r="A12" s="167">
        <v>42821</v>
      </c>
      <c r="B12" s="166">
        <v>123117265</v>
      </c>
      <c r="C12" s="166" t="s">
        <v>525</v>
      </c>
      <c r="D12" s="166" t="s">
        <v>526</v>
      </c>
      <c r="E12" s="166" t="s">
        <v>515</v>
      </c>
      <c r="F12" s="166">
        <v>330</v>
      </c>
    </row>
    <row r="13" spans="1:6" ht="45.75" thickBot="1">
      <c r="A13" s="167">
        <v>42823</v>
      </c>
      <c r="B13" s="166">
        <v>167413406</v>
      </c>
      <c r="C13" s="166" t="s">
        <v>514</v>
      </c>
      <c r="D13" s="166" t="s">
        <v>194</v>
      </c>
      <c r="E13" s="166" t="s">
        <v>515</v>
      </c>
      <c r="F13" s="166">
        <v>9.6</v>
      </c>
    </row>
    <row r="14" spans="1:6" ht="45.75" thickBot="1">
      <c r="A14" s="167">
        <v>42808</v>
      </c>
      <c r="B14" s="166">
        <v>179262477</v>
      </c>
      <c r="C14" s="166" t="s">
        <v>527</v>
      </c>
      <c r="D14" s="166" t="s">
        <v>528</v>
      </c>
      <c r="E14" s="166" t="s">
        <v>515</v>
      </c>
      <c r="F14" s="166">
        <v>138.66999999999999</v>
      </c>
    </row>
    <row r="15" spans="1:6" ht="45.75" thickBot="1">
      <c r="A15" s="167">
        <v>42814</v>
      </c>
      <c r="B15" s="166">
        <v>970584591</v>
      </c>
      <c r="C15" s="166" t="s">
        <v>529</v>
      </c>
      <c r="D15" s="166" t="s">
        <v>530</v>
      </c>
      <c r="E15" s="166" t="s">
        <v>515</v>
      </c>
      <c r="F15" s="166">
        <v>48.13</v>
      </c>
    </row>
    <row r="16" spans="1:6" ht="60.75" thickBot="1">
      <c r="A16" s="167">
        <v>42781</v>
      </c>
      <c r="B16" s="166">
        <v>730221390</v>
      </c>
      <c r="C16" s="166" t="s">
        <v>521</v>
      </c>
      <c r="D16" s="166" t="s">
        <v>522</v>
      </c>
      <c r="E16" s="166" t="s">
        <v>515</v>
      </c>
      <c r="F16" s="166">
        <v>371</v>
      </c>
    </row>
    <row r="17" spans="1:6" ht="60.75" thickBot="1">
      <c r="A17" s="167">
        <v>42845</v>
      </c>
      <c r="B17" s="166">
        <v>191594632</v>
      </c>
      <c r="C17" s="166" t="s">
        <v>67</v>
      </c>
      <c r="D17" s="166" t="s">
        <v>531</v>
      </c>
      <c r="E17" s="166" t="s">
        <v>515</v>
      </c>
      <c r="F17" s="166">
        <v>15.97</v>
      </c>
    </row>
    <row r="18" spans="1:6" ht="60.75" thickBot="1">
      <c r="A18" s="167">
        <v>42781</v>
      </c>
      <c r="B18" s="166">
        <v>730221390</v>
      </c>
      <c r="C18" s="166" t="s">
        <v>521</v>
      </c>
      <c r="D18" s="166" t="s">
        <v>522</v>
      </c>
      <c r="E18" s="166" t="s">
        <v>515</v>
      </c>
      <c r="F18" s="166">
        <v>92</v>
      </c>
    </row>
    <row r="19" spans="1:6" ht="45.75" thickBot="1">
      <c r="A19" s="167">
        <v>42930</v>
      </c>
      <c r="B19" s="166">
        <v>403183588</v>
      </c>
      <c r="C19" s="166" t="s">
        <v>532</v>
      </c>
      <c r="D19" s="166" t="s">
        <v>533</v>
      </c>
      <c r="E19" s="166" t="s">
        <v>515</v>
      </c>
      <c r="F19" s="166">
        <v>81.8</v>
      </c>
    </row>
    <row r="20" spans="1:6" ht="45.75" thickBot="1">
      <c r="A20" s="167">
        <v>42909</v>
      </c>
      <c r="B20" s="166">
        <v>834366812</v>
      </c>
      <c r="C20" s="166" t="s">
        <v>534</v>
      </c>
      <c r="D20" s="166" t="s">
        <v>535</v>
      </c>
      <c r="E20" s="166" t="s">
        <v>515</v>
      </c>
      <c r="F20" s="166">
        <v>64.16</v>
      </c>
    </row>
    <row r="21" spans="1:6" ht="45.75" thickBot="1">
      <c r="A21" s="167">
        <v>42921</v>
      </c>
      <c r="B21" s="166">
        <v>167413406</v>
      </c>
      <c r="C21" s="166" t="s">
        <v>514</v>
      </c>
      <c r="D21" s="166" t="s">
        <v>194</v>
      </c>
      <c r="E21" s="166" t="s">
        <v>515</v>
      </c>
      <c r="F21" s="166">
        <v>11</v>
      </c>
    </row>
    <row r="22" spans="1:6" ht="45.75" thickBot="1">
      <c r="A22" s="167">
        <v>42998</v>
      </c>
      <c r="B22" s="166">
        <v>439475808</v>
      </c>
      <c r="C22" s="166" t="s">
        <v>205</v>
      </c>
      <c r="D22" s="166" t="s">
        <v>520</v>
      </c>
      <c r="E22" s="166" t="s">
        <v>515</v>
      </c>
      <c r="F22" s="166">
        <v>25.13</v>
      </c>
    </row>
    <row r="23" spans="1:6" ht="45.75" thickBot="1">
      <c r="A23" s="167">
        <v>42948</v>
      </c>
      <c r="B23" s="166">
        <v>440498250</v>
      </c>
      <c r="C23" s="166" t="s">
        <v>518</v>
      </c>
      <c r="D23" s="166" t="s">
        <v>519</v>
      </c>
      <c r="E23" s="166" t="s">
        <v>515</v>
      </c>
      <c r="F23" s="166">
        <v>60</v>
      </c>
    </row>
    <row r="24" spans="1:6" ht="60.75" thickBot="1">
      <c r="A24" s="167">
        <v>42781</v>
      </c>
      <c r="B24" s="166">
        <v>730221390</v>
      </c>
      <c r="C24" s="166" t="s">
        <v>521</v>
      </c>
      <c r="D24" s="166" t="s">
        <v>522</v>
      </c>
      <c r="E24" s="166" t="s">
        <v>515</v>
      </c>
      <c r="F24" s="166">
        <v>104</v>
      </c>
    </row>
    <row r="25" spans="1:6" ht="75.75" thickBot="1">
      <c r="A25" s="167">
        <v>42821</v>
      </c>
      <c r="B25" s="166">
        <v>123117265</v>
      </c>
      <c r="C25" s="166" t="s">
        <v>525</v>
      </c>
      <c r="D25" s="166" t="s">
        <v>526</v>
      </c>
      <c r="E25" s="166" t="s">
        <v>515</v>
      </c>
      <c r="F25" s="166">
        <v>466</v>
      </c>
    </row>
    <row r="26" spans="1:6" ht="45.75" thickBot="1">
      <c r="A26" s="167">
        <v>43019</v>
      </c>
      <c r="B26" s="166">
        <v>190961541</v>
      </c>
      <c r="C26" s="166" t="s">
        <v>536</v>
      </c>
      <c r="D26" s="166" t="s">
        <v>537</v>
      </c>
      <c r="E26" s="166" t="s">
        <v>515</v>
      </c>
      <c r="F26" s="166">
        <v>164</v>
      </c>
    </row>
    <row r="27" spans="1:6" ht="45.75" thickBot="1">
      <c r="A27" s="167">
        <v>42989</v>
      </c>
      <c r="B27" s="166">
        <v>167413406</v>
      </c>
      <c r="C27" s="166" t="s">
        <v>514</v>
      </c>
      <c r="D27" s="166" t="s">
        <v>194</v>
      </c>
      <c r="E27" s="166" t="s">
        <v>515</v>
      </c>
      <c r="F27" s="166">
        <v>33</v>
      </c>
    </row>
    <row r="28" spans="1:6" ht="45.75" thickBot="1">
      <c r="A28" s="167">
        <v>43056</v>
      </c>
      <c r="B28" s="166">
        <v>777135015</v>
      </c>
      <c r="C28" s="166" t="s">
        <v>189</v>
      </c>
      <c r="D28" s="166" t="s">
        <v>538</v>
      </c>
      <c r="E28" s="166" t="s">
        <v>515</v>
      </c>
      <c r="F28" s="166">
        <v>180</v>
      </c>
    </row>
    <row r="29" spans="1:6" ht="45.75" thickBot="1">
      <c r="A29" s="167">
        <v>43080</v>
      </c>
      <c r="B29" s="166">
        <v>190157175</v>
      </c>
      <c r="C29" s="166" t="s">
        <v>523</v>
      </c>
      <c r="D29" s="166" t="s">
        <v>524</v>
      </c>
      <c r="E29" s="166" t="s">
        <v>515</v>
      </c>
      <c r="F29" s="166">
        <v>20.5</v>
      </c>
    </row>
    <row r="30" spans="1:6" ht="45.75" thickBot="1">
      <c r="A30" s="167">
        <v>43056</v>
      </c>
      <c r="B30" s="166">
        <v>777135015</v>
      </c>
      <c r="C30" s="166" t="s">
        <v>189</v>
      </c>
      <c r="D30" s="166" t="s">
        <v>538</v>
      </c>
      <c r="E30" s="166" t="s">
        <v>515</v>
      </c>
      <c r="F30" s="166">
        <v>168</v>
      </c>
    </row>
    <row r="31" spans="1:6" ht="45.75" thickBot="1">
      <c r="A31" s="167">
        <v>43124</v>
      </c>
      <c r="B31" s="166">
        <v>167413406</v>
      </c>
      <c r="C31" s="166" t="s">
        <v>514</v>
      </c>
      <c r="D31" s="166" t="s">
        <v>194</v>
      </c>
      <c r="E31" s="166" t="s">
        <v>515</v>
      </c>
      <c r="F31" s="166">
        <v>9.6</v>
      </c>
    </row>
    <row r="32" spans="1:6" ht="60.75" thickBot="1">
      <c r="A32" s="167">
        <v>43145</v>
      </c>
      <c r="B32" s="166">
        <v>191594632</v>
      </c>
      <c r="C32" s="166" t="s">
        <v>67</v>
      </c>
      <c r="D32" s="166" t="s">
        <v>531</v>
      </c>
      <c r="E32" s="166" t="s">
        <v>515</v>
      </c>
      <c r="F32" s="166">
        <v>11</v>
      </c>
    </row>
    <row r="33" spans="1:6" ht="45.75" thickBot="1">
      <c r="A33" s="167">
        <v>43136</v>
      </c>
      <c r="B33" s="166">
        <v>620658352</v>
      </c>
      <c r="C33" s="166" t="s">
        <v>539</v>
      </c>
      <c r="D33" s="166" t="s">
        <v>540</v>
      </c>
      <c r="E33" s="166" t="s">
        <v>515</v>
      </c>
      <c r="F33" s="166">
        <v>7</v>
      </c>
    </row>
    <row r="34" spans="1:6" ht="15.75" thickBot="1">
      <c r="A34" s="165"/>
      <c r="B34" s="166"/>
      <c r="C34" s="166"/>
      <c r="D34" s="166"/>
      <c r="E34" s="166"/>
      <c r="F34" s="168">
        <v>4444.78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64827-0FCD-49C4-AD37-8C8970F3EF28}">
  <sheetPr>
    <pageSetUpPr fitToPage="1"/>
  </sheetPr>
  <dimension ref="A1:AB67"/>
  <sheetViews>
    <sheetView zoomScale="90" zoomScaleNormal="90" workbookViewId="0">
      <pane xSplit="2" ySplit="4" topLeftCell="F14" activePane="bottomRight" state="frozen"/>
      <selection pane="bottomRight" activeCell="R23" sqref="R23"/>
      <selection pane="bottomLeft" activeCell="A4" sqref="A4"/>
      <selection pane="topRight" activeCell="C1" sqref="C1"/>
    </sheetView>
  </sheetViews>
  <sheetFormatPr defaultRowHeight="12.75"/>
  <cols>
    <col min="1" max="1" width="18" bestFit="1" customWidth="1"/>
    <col min="2" max="2" width="27.5703125" style="11" customWidth="1"/>
    <col min="3" max="3" width="10.7109375" style="129" hidden="1" customWidth="1"/>
    <col min="4" max="4" width="9.85546875" style="129" hidden="1" customWidth="1"/>
    <col min="5" max="5" width="11.140625" style="129" hidden="1" customWidth="1"/>
    <col min="6" max="6" width="2" style="137" customWidth="1"/>
    <col min="7" max="7" width="12" style="129" bestFit="1" customWidth="1"/>
    <col min="8" max="8" width="11.28515625" style="129" customWidth="1"/>
    <col min="9" max="9" width="12.28515625" style="129" customWidth="1"/>
    <col min="10" max="10" width="2.7109375" style="137" customWidth="1"/>
    <col min="11" max="11" width="11.28515625" style="129" customWidth="1"/>
    <col min="12" max="12" width="11.42578125" style="129" customWidth="1"/>
    <col min="13" max="13" width="11.28515625" style="129" customWidth="1"/>
    <col min="14" max="14" width="12" bestFit="1" customWidth="1"/>
    <col min="15" max="15" width="21" bestFit="1" customWidth="1"/>
    <col min="17" max="17" width="10.140625" bestFit="1" customWidth="1"/>
    <col min="18" max="18" width="9.5703125" bestFit="1" customWidth="1"/>
    <col min="27" max="27" width="14.7109375" customWidth="1"/>
  </cols>
  <sheetData>
    <row r="1" spans="1:28">
      <c r="A1" s="5"/>
      <c r="B1" s="3"/>
      <c r="C1" s="146"/>
      <c r="D1" s="146"/>
      <c r="E1" s="146"/>
      <c r="F1" s="146"/>
      <c r="G1" s="146"/>
      <c r="H1" s="146"/>
      <c r="I1" s="146"/>
      <c r="K1" s="146"/>
    </row>
    <row r="2" spans="1:28">
      <c r="A2" s="320" t="s">
        <v>541</v>
      </c>
      <c r="B2" s="321"/>
      <c r="C2" s="316" t="s">
        <v>367</v>
      </c>
      <c r="D2" s="316"/>
      <c r="E2" s="316"/>
      <c r="F2" s="146"/>
      <c r="G2" s="316" t="s">
        <v>369</v>
      </c>
      <c r="H2" s="316"/>
      <c r="I2" s="316"/>
      <c r="K2" s="5">
        <v>2019</v>
      </c>
    </row>
    <row r="3" spans="1:28">
      <c r="A3" s="5"/>
      <c r="B3" s="3"/>
      <c r="C3" s="149"/>
      <c r="D3" s="149"/>
      <c r="E3" s="149"/>
      <c r="F3" s="146"/>
      <c r="G3" s="150"/>
      <c r="H3" s="146"/>
      <c r="I3" s="146"/>
      <c r="K3" s="146"/>
    </row>
    <row r="4" spans="1:28">
      <c r="A4" s="5"/>
      <c r="B4" s="60" t="s">
        <v>25</v>
      </c>
      <c r="C4" s="149" t="s">
        <v>370</v>
      </c>
      <c r="D4" s="149" t="s">
        <v>371</v>
      </c>
      <c r="E4" s="149" t="s">
        <v>372</v>
      </c>
      <c r="F4" s="146"/>
      <c r="G4" s="149" t="s">
        <v>370</v>
      </c>
      <c r="H4" s="149" t="s">
        <v>371</v>
      </c>
      <c r="I4" s="149" t="s">
        <v>542</v>
      </c>
      <c r="K4" s="149" t="s">
        <v>370</v>
      </c>
      <c r="L4" s="131"/>
    </row>
    <row r="5" spans="1:28">
      <c r="A5" s="5"/>
      <c r="B5" s="3"/>
      <c r="C5" s="152"/>
      <c r="D5" s="153"/>
      <c r="E5" s="153"/>
      <c r="F5" s="146"/>
      <c r="G5" s="146"/>
      <c r="H5" s="146"/>
      <c r="I5" s="176"/>
      <c r="K5" s="146"/>
      <c r="AA5" t="s">
        <v>543</v>
      </c>
      <c r="AB5">
        <v>7</v>
      </c>
    </row>
    <row r="6" spans="1:28">
      <c r="A6" s="60" t="s">
        <v>375</v>
      </c>
      <c r="B6" s="3"/>
      <c r="C6" s="154"/>
      <c r="D6" s="155"/>
      <c r="E6" s="155"/>
      <c r="F6" s="146"/>
      <c r="G6" s="150"/>
      <c r="H6" s="146"/>
      <c r="I6" s="146"/>
      <c r="J6" s="146"/>
      <c r="K6" s="146"/>
    </row>
    <row r="7" spans="1:28">
      <c r="A7" s="5"/>
      <c r="B7" s="128" t="s">
        <v>36</v>
      </c>
      <c r="C7" s="156">
        <f>+'[1]Year end spend v budget'!C2</f>
        <v>3825.4079999999999</v>
      </c>
      <c r="D7" s="153">
        <f>+'[1]Year end spend v budget'!B2</f>
        <v>5174.3499999999995</v>
      </c>
      <c r="E7" s="153">
        <f>+C7-D7</f>
        <v>-1348.9419999999996</v>
      </c>
      <c r="F7" s="150"/>
      <c r="G7" s="153">
        <v>5994.32</v>
      </c>
      <c r="H7" s="146">
        <f>'Main Acc'!AD142</f>
        <v>5105.4500000000007</v>
      </c>
      <c r="I7" s="153">
        <f>H7/$AB$5*12</f>
        <v>8752.2000000000007</v>
      </c>
      <c r="J7" s="146"/>
      <c r="K7" s="153">
        <v>6200</v>
      </c>
    </row>
    <row r="8" spans="1:28">
      <c r="A8" s="5"/>
      <c r="B8" s="3" t="str">
        <f>'Main Acc'!AG3</f>
        <v>Payroll</v>
      </c>
      <c r="C8" s="156">
        <f>+'[1]Year end spend v budget'!C3</f>
        <v>1141</v>
      </c>
      <c r="D8" s="153">
        <f>+'[1]Year end spend v budget'!B3</f>
        <v>217.26</v>
      </c>
      <c r="E8" s="153">
        <f t="shared" ref="E8:E48" si="0">+C8-D8</f>
        <v>923.74</v>
      </c>
      <c r="F8" s="146"/>
      <c r="G8" s="153">
        <v>0</v>
      </c>
      <c r="H8" s="146"/>
      <c r="I8" s="153">
        <f t="shared" ref="I8:I10" si="1">H8/$AB$5*12</f>
        <v>0</v>
      </c>
      <c r="J8" s="146"/>
      <c r="K8" s="153">
        <f>I83119</f>
        <v>0</v>
      </c>
      <c r="O8" s="161"/>
    </row>
    <row r="9" spans="1:28">
      <c r="A9" s="5"/>
      <c r="B9" s="3" t="s">
        <v>39</v>
      </c>
      <c r="C9" s="156"/>
      <c r="D9" s="153"/>
      <c r="E9" s="153"/>
      <c r="F9" s="146"/>
      <c r="G9" s="153">
        <v>117</v>
      </c>
      <c r="H9" s="153">
        <f>'Main Acc'!AG142</f>
        <v>156</v>
      </c>
      <c r="I9" s="153">
        <f>H9</f>
        <v>156</v>
      </c>
      <c r="J9" s="146"/>
      <c r="K9" s="153">
        <v>125</v>
      </c>
    </row>
    <row r="10" spans="1:28" ht="25.5">
      <c r="A10" s="5"/>
      <c r="B10" s="4" t="str">
        <f>'Main Acc'!AH3</f>
        <v>Clerks Expenses/Purchases on PC's behalf</v>
      </c>
      <c r="C10" s="156">
        <f>+'[1]Year end spend v budget'!C4</f>
        <v>879</v>
      </c>
      <c r="D10" s="153">
        <f>+'[1]Year end spend v budget'!B4</f>
        <v>1750.82</v>
      </c>
      <c r="E10" s="153">
        <f t="shared" si="0"/>
        <v>-871.81999999999994</v>
      </c>
      <c r="F10" s="150"/>
      <c r="G10" s="153">
        <v>791.99</v>
      </c>
      <c r="H10" s="153">
        <f>'Main Acc'!AH142</f>
        <v>1317.73</v>
      </c>
      <c r="I10" s="153">
        <f t="shared" si="1"/>
        <v>2258.9657142857141</v>
      </c>
      <c r="J10" s="146"/>
      <c r="K10" s="153">
        <f t="shared" ref="K10" si="2">I10</f>
        <v>2258.9657142857141</v>
      </c>
    </row>
    <row r="11" spans="1:28">
      <c r="A11" s="5"/>
      <c r="B11" s="3"/>
      <c r="C11" s="157">
        <f>SUM(C7:C10)</f>
        <v>5845.4079999999994</v>
      </c>
      <c r="D11" s="157">
        <f t="shared" ref="D11:I11" si="3">SUM(D7:D10)</f>
        <v>7142.4299999999994</v>
      </c>
      <c r="E11" s="157">
        <f t="shared" si="3"/>
        <v>-1297.0219999999995</v>
      </c>
      <c r="F11" s="150"/>
      <c r="G11" s="157">
        <f t="shared" si="3"/>
        <v>6903.3099999999995</v>
      </c>
      <c r="H11" s="157">
        <f>SUM(H7:H10)</f>
        <v>6579.18</v>
      </c>
      <c r="I11" s="157">
        <f t="shared" si="3"/>
        <v>11167.165714285715</v>
      </c>
      <c r="J11" s="146"/>
      <c r="K11" s="153">
        <f>SUM(K7:K10)</f>
        <v>8583.9657142857141</v>
      </c>
    </row>
    <row r="12" spans="1:28">
      <c r="A12" s="60" t="s">
        <v>377</v>
      </c>
      <c r="B12" s="3"/>
      <c r="C12" s="156"/>
      <c r="D12" s="153"/>
      <c r="E12" s="153"/>
      <c r="F12" s="150"/>
      <c r="G12" s="153"/>
      <c r="H12" s="153"/>
      <c r="I12" s="138"/>
      <c r="K12" s="132"/>
    </row>
    <row r="13" spans="1:28">
      <c r="A13" s="5"/>
      <c r="B13" s="3" t="str">
        <f>'Main Acc'!AI3</f>
        <v xml:space="preserve">Insurance </v>
      </c>
      <c r="C13" s="156">
        <f>+'[1]Year end spend v budget'!C5</f>
        <v>1010</v>
      </c>
      <c r="D13" s="153">
        <f>+'[1]Year end spend v budget'!B5</f>
        <v>1016.51</v>
      </c>
      <c r="E13" s="153">
        <f t="shared" si="0"/>
        <v>-6.5099999999999909</v>
      </c>
      <c r="F13" s="146"/>
      <c r="G13" s="153">
        <v>1113.54</v>
      </c>
      <c r="H13" s="153">
        <f>'Main Acc'!AI142</f>
        <v>2044.56</v>
      </c>
      <c r="I13" s="153">
        <f t="shared" ref="I13:I15" si="4">H13/$AB$5*12</f>
        <v>3504.96</v>
      </c>
      <c r="J13" s="146"/>
      <c r="K13" s="153">
        <v>1250</v>
      </c>
    </row>
    <row r="14" spans="1:28">
      <c r="A14" s="5"/>
      <c r="B14" s="3" t="str">
        <f>'Main Acc'!AJ3</f>
        <v>Audit Fees internal</v>
      </c>
      <c r="C14" s="156">
        <f>+'[1]Year end spend v budget'!C6</f>
        <v>128</v>
      </c>
      <c r="D14" s="153">
        <f>+'[1]Year end spend v budget'!B6</f>
        <v>135</v>
      </c>
      <c r="E14" s="153">
        <f t="shared" si="0"/>
        <v>-7</v>
      </c>
      <c r="F14" s="146"/>
      <c r="G14" s="153">
        <v>130</v>
      </c>
      <c r="H14" s="153">
        <f>+'Main Acc'!U142</f>
        <v>0</v>
      </c>
      <c r="I14" s="153">
        <f t="shared" si="4"/>
        <v>0</v>
      </c>
      <c r="J14" s="146"/>
      <c r="K14" s="153">
        <v>130</v>
      </c>
    </row>
    <row r="15" spans="1:28">
      <c r="A15" s="5"/>
      <c r="B15" s="3" t="s">
        <v>380</v>
      </c>
      <c r="C15" s="156">
        <f>+'[1]Year end spend v budget'!C7</f>
        <v>240</v>
      </c>
      <c r="D15" s="153">
        <f>+'[1]Year end spend v budget'!B7</f>
        <v>240</v>
      </c>
      <c r="E15" s="153">
        <f t="shared" si="0"/>
        <v>0</v>
      </c>
      <c r="F15" s="146"/>
      <c r="G15" s="153">
        <v>249.7</v>
      </c>
      <c r="H15" s="153">
        <f>+'Main Acc'!V142</f>
        <v>0</v>
      </c>
      <c r="I15" s="153">
        <f t="shared" si="4"/>
        <v>0</v>
      </c>
      <c r="J15" s="146"/>
      <c r="K15" s="153">
        <v>250</v>
      </c>
    </row>
    <row r="16" spans="1:28">
      <c r="A16" s="5"/>
      <c r="B16" s="3" t="str">
        <f>'Main Acc'!AW3</f>
        <v>PWLB 491409</v>
      </c>
      <c r="C16" s="156">
        <f>+'[1]Year end spend v budget'!C20</f>
        <v>1540</v>
      </c>
      <c r="D16" s="153">
        <f>+'[1]Year end spend v budget'!B20</f>
        <v>1541.82</v>
      </c>
      <c r="E16" s="153">
        <f>+C16-D16</f>
        <v>-1.8199999999999363</v>
      </c>
      <c r="F16" s="146"/>
      <c r="G16" s="153">
        <f>+[2]Sheet1!F16</f>
        <v>1540</v>
      </c>
      <c r="H16" s="153">
        <f>'Main Acc'!AW142</f>
        <v>1167.1400000000001</v>
      </c>
      <c r="I16" s="153">
        <f>H16</f>
        <v>1167.1400000000001</v>
      </c>
      <c r="J16" s="146"/>
      <c r="K16" s="153">
        <f t="shared" ref="K16:K18" si="5">I16</f>
        <v>1167.1400000000001</v>
      </c>
    </row>
    <row r="17" spans="1:11">
      <c r="A17" s="5"/>
      <c r="B17" s="3" t="e">
        <f>'Main Acc'!#REF!</f>
        <v>#REF!</v>
      </c>
      <c r="C17" s="156">
        <f>+'[1]Year end spend v budget'!C21</f>
        <v>2334</v>
      </c>
      <c r="D17" s="153">
        <f>+'[1]Year end spend v budget'!B21</f>
        <v>2334.2800000000002</v>
      </c>
      <c r="E17" s="153">
        <f>+C17-D17</f>
        <v>-0.28000000000020009</v>
      </c>
      <c r="F17" s="150"/>
      <c r="G17" s="153">
        <f>+[2]Sheet1!F17</f>
        <v>2334</v>
      </c>
      <c r="H17" s="153" t="e">
        <f>'Main Acc'!#REF!</f>
        <v>#REF!</v>
      </c>
      <c r="I17" s="153" t="e">
        <f t="shared" ref="I17:I18" si="6">H17</f>
        <v>#REF!</v>
      </c>
      <c r="J17" s="146"/>
      <c r="K17" s="153" t="e">
        <f t="shared" si="5"/>
        <v>#REF!</v>
      </c>
    </row>
    <row r="18" spans="1:11">
      <c r="A18" s="5"/>
      <c r="B18" s="3" t="str">
        <f>'Main Acc'!AX3</f>
        <v>PWLB  482031</v>
      </c>
      <c r="C18" s="156">
        <f>+'[1]Year end spend v budget'!C22</f>
        <v>1662</v>
      </c>
      <c r="D18" s="153">
        <f>+'[1]Year end spend v budget'!B22</f>
        <v>1663.3</v>
      </c>
      <c r="E18" s="153">
        <f>+C18-D18</f>
        <v>-1.2999999999999545</v>
      </c>
      <c r="F18" s="146"/>
      <c r="G18" s="153">
        <f>+[2]Sheet1!F18</f>
        <v>1662</v>
      </c>
      <c r="H18" s="153">
        <f>'Main Acc'!AX142</f>
        <v>1541.99</v>
      </c>
      <c r="I18" s="153">
        <f t="shared" si="6"/>
        <v>1541.99</v>
      </c>
      <c r="J18" s="146"/>
      <c r="K18" s="153">
        <f t="shared" si="5"/>
        <v>1541.99</v>
      </c>
    </row>
    <row r="19" spans="1:11">
      <c r="A19" s="5"/>
      <c r="B19" s="3"/>
      <c r="C19" s="157">
        <f>SUM(C13:C18)</f>
        <v>6914</v>
      </c>
      <c r="D19" s="157">
        <f>SUM(D13:D18)</f>
        <v>6930.9100000000008</v>
      </c>
      <c r="E19" s="157">
        <f>SUM(E13:E18)</f>
        <v>-16.910000000000082</v>
      </c>
      <c r="F19" s="150"/>
      <c r="G19" s="157">
        <f>SUM(G13:G18)</f>
        <v>7029.24</v>
      </c>
      <c r="H19" s="157" t="e">
        <f>SUM(H13:H18)</f>
        <v>#REF!</v>
      </c>
      <c r="I19" s="157" t="e">
        <f>SUM(I13:I18)</f>
        <v>#REF!</v>
      </c>
      <c r="J19" s="146"/>
      <c r="K19" s="153" t="e">
        <f>SUM(K13:K18)</f>
        <v>#REF!</v>
      </c>
    </row>
    <row r="20" spans="1:11">
      <c r="A20" s="60" t="s">
        <v>382</v>
      </c>
      <c r="B20" s="60"/>
      <c r="C20" s="156"/>
      <c r="D20" s="153"/>
      <c r="E20" s="153"/>
      <c r="F20" s="146"/>
      <c r="G20" s="153"/>
      <c r="H20" s="153"/>
      <c r="I20" s="138"/>
      <c r="K20" s="132"/>
    </row>
    <row r="21" spans="1:11">
      <c r="A21" s="5"/>
      <c r="B21" s="3" t="str">
        <f>'Main Acc'!AL3</f>
        <v>Membership and Training</v>
      </c>
      <c r="C21" s="156">
        <f>+'[1]Year end spend v budget'!C8</f>
        <v>664</v>
      </c>
      <c r="D21" s="153">
        <f>+'[1]Year end spend v budget'!B8</f>
        <v>988.49</v>
      </c>
      <c r="E21" s="153">
        <f t="shared" si="0"/>
        <v>-324.49</v>
      </c>
      <c r="F21" s="146"/>
      <c r="G21" s="153">
        <v>690</v>
      </c>
      <c r="H21" s="153">
        <f>+'Main Acc'!W142</f>
        <v>0</v>
      </c>
      <c r="I21" s="153">
        <f t="shared" ref="I21" si="7">H21/$AB$5*12</f>
        <v>0</v>
      </c>
      <c r="J21" s="146"/>
      <c r="K21" s="153">
        <v>900</v>
      </c>
    </row>
    <row r="22" spans="1:11">
      <c r="A22" s="5"/>
      <c r="B22" s="3"/>
      <c r="C22" s="157">
        <f>SUM(C20:C21)</f>
        <v>664</v>
      </c>
      <c r="D22" s="157">
        <f>SUM(D20:D21)</f>
        <v>988.49</v>
      </c>
      <c r="E22" s="157">
        <f>SUM(E20:E21)</f>
        <v>-324.49</v>
      </c>
      <c r="F22" s="146"/>
      <c r="G22" s="157">
        <f>SUM(G20:G21)</f>
        <v>690</v>
      </c>
      <c r="H22" s="157">
        <f>SUM(H20:H21)</f>
        <v>0</v>
      </c>
      <c r="I22" s="157">
        <f>SUM(I20:I21)</f>
        <v>0</v>
      </c>
      <c r="J22" s="146"/>
      <c r="K22" s="153">
        <v>900</v>
      </c>
    </row>
    <row r="23" spans="1:11">
      <c r="A23" s="60" t="s">
        <v>385</v>
      </c>
      <c r="B23" s="3"/>
      <c r="C23" s="156"/>
      <c r="D23" s="153"/>
      <c r="E23" s="153"/>
      <c r="F23" s="146"/>
      <c r="G23" s="153"/>
      <c r="H23" s="153"/>
      <c r="I23" s="177"/>
      <c r="K23" s="132"/>
    </row>
    <row r="24" spans="1:11">
      <c r="A24" s="5"/>
      <c r="B24" s="3" t="str">
        <f>'Main Acc'!AM3</f>
        <v>Caretaker</v>
      </c>
      <c r="C24" s="156">
        <f>+'[1]Year end spend v budget'!C9</f>
        <v>2652</v>
      </c>
      <c r="D24" s="153">
        <f>+'[1]Year end spend v budget'!B9</f>
        <v>2844</v>
      </c>
      <c r="E24" s="153">
        <f t="shared" si="0"/>
        <v>-192</v>
      </c>
      <c r="F24" s="150"/>
      <c r="G24" s="153">
        <v>2448</v>
      </c>
      <c r="H24" s="153">
        <f>'Main Acc'!AM142</f>
        <v>2522.2800000000002</v>
      </c>
      <c r="I24" s="153">
        <f t="shared" ref="I24:I31" si="8">H24/$AB$5*12</f>
        <v>4323.908571428572</v>
      </c>
      <c r="J24" s="146"/>
      <c r="K24" s="153">
        <v>3500</v>
      </c>
    </row>
    <row r="25" spans="1:11">
      <c r="A25" s="5"/>
      <c r="B25" s="3" t="str">
        <f>'Main Acc'!AN3</f>
        <v>Equipment purchase</v>
      </c>
      <c r="C25" s="156">
        <f>+'[1]Year end spend v budget'!C10</f>
        <v>78</v>
      </c>
      <c r="D25" s="153">
        <f>+'[1]Year end spend v budget'!B10</f>
        <v>78.790000000000006</v>
      </c>
      <c r="E25" s="153">
        <f t="shared" si="0"/>
        <v>-0.79000000000000625</v>
      </c>
      <c r="F25" s="150"/>
      <c r="G25" s="153">
        <v>1070</v>
      </c>
      <c r="H25" s="153">
        <f>+'Main Acc'!Y142</f>
        <v>0</v>
      </c>
      <c r="I25" s="153">
        <f t="shared" si="8"/>
        <v>0</v>
      </c>
      <c r="J25" s="146"/>
      <c r="K25" s="153">
        <v>500</v>
      </c>
    </row>
    <row r="26" spans="1:11">
      <c r="A26" s="5"/>
      <c r="B26" s="3" t="str">
        <f>'Main Acc'!AT3</f>
        <v>Pavilion Maintenance</v>
      </c>
      <c r="C26" s="156">
        <f>+'[1]Year end spend v budget'!C15</f>
        <v>1071</v>
      </c>
      <c r="D26" s="153">
        <f>+'[1]Year end spend v budget'!B15</f>
        <v>1900.08</v>
      </c>
      <c r="E26" s="153">
        <f>+C26-D26</f>
        <v>-829.07999999999993</v>
      </c>
      <c r="F26" s="146"/>
      <c r="G26" s="153">
        <v>1000</v>
      </c>
      <c r="H26" s="153">
        <f>'Main Acc'!AT142</f>
        <v>1228.8</v>
      </c>
      <c r="I26" s="153">
        <f t="shared" si="8"/>
        <v>2106.5142857142855</v>
      </c>
      <c r="J26" s="146"/>
      <c r="K26" s="153">
        <v>1100</v>
      </c>
    </row>
    <row r="27" spans="1:11">
      <c r="A27" s="5"/>
      <c r="B27" s="3" t="s">
        <v>59</v>
      </c>
      <c r="C27" s="156">
        <f>+'[1]Year end spend v budget'!C16</f>
        <v>1500</v>
      </c>
      <c r="D27" s="153">
        <f>+'[1]Year end spend v budget'!B16</f>
        <v>486.62</v>
      </c>
      <c r="E27" s="153">
        <f>+C27-D27</f>
        <v>1013.38</v>
      </c>
      <c r="F27" s="150"/>
      <c r="G27" s="153">
        <v>1500</v>
      </c>
      <c r="H27" s="153">
        <f>'Main Acc'!BA142</f>
        <v>2013.9700000000003</v>
      </c>
      <c r="I27" s="153">
        <f t="shared" si="8"/>
        <v>3452.5200000000004</v>
      </c>
      <c r="J27" s="146"/>
      <c r="K27" s="153">
        <v>3200</v>
      </c>
    </row>
    <row r="28" spans="1:11">
      <c r="A28" s="5"/>
      <c r="B28" s="3" t="str">
        <f>'Main Acc'!AO3</f>
        <v>Recreation Maintenance</v>
      </c>
      <c r="C28" s="156">
        <f>+'[1]Year end spend v budget'!C11</f>
        <v>1836</v>
      </c>
      <c r="D28" s="153">
        <f>+'[1]Year end spend v budget'!B11</f>
        <v>23252.949999999997</v>
      </c>
      <c r="E28" s="153">
        <f t="shared" si="0"/>
        <v>-21416.949999999997</v>
      </c>
      <c r="F28" s="150"/>
      <c r="G28" s="153">
        <v>10392.719999999999</v>
      </c>
      <c r="H28" s="153">
        <f>+'Main Acc'!Z142</f>
        <v>0</v>
      </c>
      <c r="I28" s="153">
        <f t="shared" si="8"/>
        <v>0</v>
      </c>
      <c r="J28" s="146"/>
      <c r="K28" s="153">
        <v>10000</v>
      </c>
    </row>
    <row r="29" spans="1:11">
      <c r="A29" s="5"/>
      <c r="B29" s="3" t="str">
        <f>'Main Acc'!AP3</f>
        <v>Playground Maintenance</v>
      </c>
      <c r="C29" s="156">
        <f>+'[1]Year end spend v budget'!C12</f>
        <v>1836</v>
      </c>
      <c r="D29" s="153">
        <f>+'[1]Year end spend v budget'!B12</f>
        <v>666</v>
      </c>
      <c r="E29" s="153">
        <f t="shared" si="0"/>
        <v>1170</v>
      </c>
      <c r="F29" s="146"/>
      <c r="G29" s="153">
        <v>5000</v>
      </c>
      <c r="H29" s="153">
        <f>+'Main Acc'!AA142</f>
        <v>0</v>
      </c>
      <c r="I29" s="153">
        <f t="shared" si="8"/>
        <v>0</v>
      </c>
      <c r="J29" s="146"/>
      <c r="K29" s="153">
        <v>5000</v>
      </c>
    </row>
    <row r="30" spans="1:11">
      <c r="A30" s="5"/>
      <c r="B30" s="3" t="s">
        <v>387</v>
      </c>
      <c r="C30" s="156"/>
      <c r="D30" s="153"/>
      <c r="E30" s="153"/>
      <c r="F30" s="146"/>
      <c r="G30" s="153">
        <v>1500</v>
      </c>
      <c r="H30" s="153">
        <f>'Main Acc'!AV142</f>
        <v>3147.69</v>
      </c>
      <c r="I30" s="153">
        <f t="shared" si="8"/>
        <v>5396.04</v>
      </c>
      <c r="J30" s="146"/>
      <c r="K30" s="153">
        <v>1500</v>
      </c>
    </row>
    <row r="31" spans="1:11">
      <c r="A31" s="5"/>
      <c r="B31" s="3" t="s">
        <v>389</v>
      </c>
      <c r="C31" s="156"/>
      <c r="D31" s="153"/>
      <c r="E31" s="153"/>
      <c r="F31" s="146"/>
      <c r="G31" s="153">
        <f>+[2]Sheet1!$F$25</f>
        <v>125</v>
      </c>
      <c r="H31" s="153">
        <f>+'Main Acc'!AA144</f>
        <v>0</v>
      </c>
      <c r="I31" s="153">
        <f t="shared" si="8"/>
        <v>0</v>
      </c>
      <c r="J31" s="146"/>
      <c r="K31" s="153">
        <v>125</v>
      </c>
    </row>
    <row r="32" spans="1:11">
      <c r="A32" s="5"/>
      <c r="B32" s="3" t="s">
        <v>544</v>
      </c>
      <c r="C32" s="156"/>
      <c r="D32" s="153"/>
      <c r="E32" s="153"/>
      <c r="F32" s="146"/>
      <c r="G32" s="153"/>
      <c r="H32" s="153"/>
      <c r="I32" s="153">
        <v>250</v>
      </c>
      <c r="J32" s="146"/>
      <c r="K32" s="153">
        <v>250</v>
      </c>
    </row>
    <row r="33" spans="1:11">
      <c r="A33" s="5"/>
      <c r="B33" s="3" t="s">
        <v>545</v>
      </c>
      <c r="C33" s="156"/>
      <c r="D33" s="153"/>
      <c r="E33" s="153"/>
      <c r="F33" s="146"/>
      <c r="G33" s="153"/>
      <c r="H33" s="153"/>
      <c r="I33" s="153">
        <v>500</v>
      </c>
      <c r="J33" s="146"/>
      <c r="K33" s="153">
        <v>500</v>
      </c>
    </row>
    <row r="34" spans="1:11">
      <c r="A34" s="5"/>
      <c r="B34" s="3" t="s">
        <v>546</v>
      </c>
      <c r="C34" s="156"/>
      <c r="D34" s="153"/>
      <c r="E34" s="153"/>
      <c r="F34" s="146"/>
      <c r="G34" s="153">
        <v>500</v>
      </c>
      <c r="H34" s="153">
        <f>'Main Acc'!AQ142</f>
        <v>0</v>
      </c>
      <c r="I34" s="153">
        <v>500</v>
      </c>
      <c r="J34" s="146"/>
      <c r="K34" s="153">
        <v>500</v>
      </c>
    </row>
    <row r="35" spans="1:11">
      <c r="A35" s="5"/>
      <c r="B35" s="3"/>
      <c r="C35" s="157">
        <f>SUM(C24:C29)</f>
        <v>8973</v>
      </c>
      <c r="D35" s="157">
        <f>SUM(D24:D29)</f>
        <v>29228.439999999995</v>
      </c>
      <c r="E35" s="157">
        <f>SUM(E24:E29)</f>
        <v>-20255.439999999999</v>
      </c>
      <c r="F35" s="146"/>
      <c r="G35" s="157">
        <f>SUM(G24:G31)</f>
        <v>23035.72</v>
      </c>
      <c r="H35" s="157">
        <f>SUM(H24:H34)</f>
        <v>8912.74</v>
      </c>
      <c r="I35" s="157">
        <f>SUM(I24:I31)</f>
        <v>15278.982857142859</v>
      </c>
      <c r="J35" s="146"/>
      <c r="K35" s="153">
        <f>SUM(K21:K34)</f>
        <v>27975</v>
      </c>
    </row>
    <row r="36" spans="1:11">
      <c r="A36" s="5"/>
      <c r="B36" s="3"/>
      <c r="C36" s="157"/>
      <c r="D36" s="157"/>
      <c r="E36" s="157"/>
      <c r="F36" s="146"/>
      <c r="G36" s="157"/>
      <c r="H36" s="157"/>
      <c r="I36" s="157"/>
      <c r="K36" s="132"/>
    </row>
    <row r="37" spans="1:11">
      <c r="A37" s="60" t="s">
        <v>391</v>
      </c>
      <c r="B37" s="3"/>
      <c r="C37" s="156"/>
      <c r="D37" s="153"/>
      <c r="E37" s="153"/>
      <c r="F37" s="146"/>
      <c r="G37" s="146"/>
      <c r="H37" s="153"/>
      <c r="I37" s="178"/>
      <c r="K37" s="132"/>
    </row>
    <row r="38" spans="1:11">
      <c r="A38" s="5"/>
      <c r="B38" s="3" t="str">
        <f>'Main Acc'!AR3</f>
        <v>Barcombe Mills Rates</v>
      </c>
      <c r="C38" s="156">
        <f>+'[1]Year end spend v budget'!C13</f>
        <v>280</v>
      </c>
      <c r="D38" s="153">
        <f>+'[1]Year end spend v budget'!B13</f>
        <v>0</v>
      </c>
      <c r="E38" s="153">
        <f t="shared" si="0"/>
        <v>280</v>
      </c>
      <c r="F38" s="150"/>
      <c r="G38" s="153">
        <v>317.24</v>
      </c>
      <c r="H38" s="153">
        <f>+'Main Acc'!AB142</f>
        <v>-100</v>
      </c>
      <c r="I38" s="153">
        <f>H38</f>
        <v>-100</v>
      </c>
      <c r="J38" s="146"/>
      <c r="K38" s="153">
        <v>350</v>
      </c>
    </row>
    <row r="39" spans="1:11">
      <c r="A39" s="5"/>
      <c r="B39" s="3" t="s">
        <v>51</v>
      </c>
      <c r="C39" s="156">
        <f>+'[1]Year end spend v budget'!C14</f>
        <v>1071</v>
      </c>
      <c r="D39" s="153">
        <f>+'[1]Year end spend v budget'!B14</f>
        <v>2182.4</v>
      </c>
      <c r="E39" s="153">
        <f t="shared" si="0"/>
        <v>-1111.4000000000001</v>
      </c>
      <c r="F39" s="150"/>
      <c r="G39" s="153">
        <v>1667</v>
      </c>
      <c r="H39" s="153">
        <f>'Main Acc'!AS142</f>
        <v>0</v>
      </c>
      <c r="I39" s="153">
        <f t="shared" ref="I39" si="9">H39/$AB$5*12</f>
        <v>0</v>
      </c>
      <c r="J39" s="146"/>
      <c r="K39" s="153">
        <v>2000</v>
      </c>
    </row>
    <row r="40" spans="1:11">
      <c r="A40" s="5"/>
      <c r="B40" s="3"/>
      <c r="C40" s="157">
        <f>SUM(C38:C39)</f>
        <v>1351</v>
      </c>
      <c r="D40" s="157">
        <f t="shared" ref="D40:I40" si="10">SUM(D38:D39)</f>
        <v>2182.4</v>
      </c>
      <c r="E40" s="157">
        <f t="shared" si="10"/>
        <v>-831.40000000000009</v>
      </c>
      <c r="F40" s="150"/>
      <c r="G40" s="157">
        <f t="shared" si="10"/>
        <v>1984.24</v>
      </c>
      <c r="H40" s="157">
        <f t="shared" si="10"/>
        <v>-100</v>
      </c>
      <c r="I40" s="157">
        <f t="shared" si="10"/>
        <v>-100</v>
      </c>
      <c r="J40" s="146"/>
      <c r="K40" s="153">
        <f>SUM(K38:K39)</f>
        <v>2350</v>
      </c>
    </row>
    <row r="41" spans="1:11">
      <c r="A41" s="60" t="s">
        <v>53</v>
      </c>
      <c r="B41" s="3"/>
      <c r="C41" s="156"/>
      <c r="D41" s="153"/>
      <c r="E41" s="153"/>
      <c r="F41" s="150"/>
      <c r="G41" s="153"/>
      <c r="H41" s="153"/>
      <c r="I41" s="138"/>
      <c r="K41" s="132"/>
    </row>
    <row r="42" spans="1:11">
      <c r="A42" s="5"/>
      <c r="B42" s="3" t="s">
        <v>53</v>
      </c>
      <c r="C42" s="156">
        <f>+'[1]Year end spend v budget'!C18</f>
        <v>15000</v>
      </c>
      <c r="D42" s="153">
        <f>+'[1]Year end spend v budget'!B18</f>
        <v>480</v>
      </c>
      <c r="E42" s="153">
        <f>+C42-D42</f>
        <v>14520</v>
      </c>
      <c r="F42" s="150"/>
      <c r="G42" s="153">
        <f>+[2]Sheet1!$F$21</f>
        <v>1500</v>
      </c>
      <c r="H42" s="153">
        <f>'Main Acc'!AU142</f>
        <v>1320.62</v>
      </c>
      <c r="I42" s="153">
        <f>H42/$AB$5*12</f>
        <v>2263.92</v>
      </c>
      <c r="J42" s="146"/>
      <c r="K42" s="153">
        <v>1500</v>
      </c>
    </row>
    <row r="43" spans="1:11">
      <c r="A43" s="5"/>
      <c r="B43" s="3"/>
      <c r="C43" s="157">
        <f>SUM(C41:C42)</f>
        <v>15000</v>
      </c>
      <c r="D43" s="157">
        <f t="shared" ref="D43:I43" si="11">SUM(D41:D42)</f>
        <v>480</v>
      </c>
      <c r="E43" s="157">
        <f t="shared" si="11"/>
        <v>14520</v>
      </c>
      <c r="F43" s="150"/>
      <c r="G43" s="157">
        <f t="shared" si="11"/>
        <v>1500</v>
      </c>
      <c r="H43" s="157">
        <f t="shared" si="11"/>
        <v>1320.62</v>
      </c>
      <c r="I43" s="157">
        <f t="shared" si="11"/>
        <v>2263.92</v>
      </c>
      <c r="J43" s="146"/>
      <c r="K43" s="153">
        <v>1500</v>
      </c>
    </row>
    <row r="44" spans="1:11">
      <c r="A44" s="60" t="s">
        <v>61</v>
      </c>
      <c r="B44" s="3"/>
      <c r="C44" s="156"/>
      <c r="D44" s="153"/>
      <c r="E44" s="153"/>
      <c r="F44" s="150"/>
      <c r="G44" s="153"/>
      <c r="H44" s="153"/>
      <c r="I44" s="138"/>
      <c r="K44" s="132"/>
    </row>
    <row r="45" spans="1:11">
      <c r="A45" s="5"/>
      <c r="B45" s="3" t="str">
        <f>'Main Acc'!BD3</f>
        <v>Neighbourhood Planning</v>
      </c>
      <c r="C45" s="156">
        <f>+'[1]Year end spend v budget'!C23</f>
        <v>1020</v>
      </c>
      <c r="D45" s="153">
        <f>+'[1]Year end spend v budget'!B23</f>
        <v>388.56</v>
      </c>
      <c r="E45" s="153">
        <f>+C45-D45</f>
        <v>631.44000000000005</v>
      </c>
      <c r="F45" s="150"/>
      <c r="G45" s="153">
        <f>+[2]Sheet1!$F$19</f>
        <v>5000</v>
      </c>
      <c r="H45" s="153">
        <f>'Main Acc'!BD142</f>
        <v>0</v>
      </c>
      <c r="I45" s="153">
        <f>+H45/12*12</f>
        <v>0</v>
      </c>
      <c r="J45" s="146"/>
      <c r="K45" s="153">
        <v>500</v>
      </c>
    </row>
    <row r="46" spans="1:11">
      <c r="A46" s="5"/>
      <c r="B46" s="3"/>
      <c r="C46" s="157">
        <f>SUM(C44:C45)</f>
        <v>1020</v>
      </c>
      <c r="D46" s="157">
        <f t="shared" ref="D46:I46" si="12">SUM(D44:D45)</f>
        <v>388.56</v>
      </c>
      <c r="E46" s="157">
        <f t="shared" si="12"/>
        <v>631.44000000000005</v>
      </c>
      <c r="F46" s="150"/>
      <c r="G46" s="157">
        <f t="shared" si="12"/>
        <v>5000</v>
      </c>
      <c r="H46" s="157">
        <f t="shared" si="12"/>
        <v>0</v>
      </c>
      <c r="I46" s="157">
        <f t="shared" si="12"/>
        <v>0</v>
      </c>
      <c r="J46" s="146"/>
      <c r="K46" s="153">
        <v>500</v>
      </c>
    </row>
    <row r="47" spans="1:11">
      <c r="A47" s="60" t="s">
        <v>394</v>
      </c>
      <c r="B47" s="3"/>
      <c r="C47" s="156"/>
      <c r="D47" s="153"/>
      <c r="E47" s="153"/>
      <c r="F47" s="150"/>
      <c r="G47" s="153"/>
      <c r="H47" s="153"/>
      <c r="I47" s="138"/>
      <c r="K47" s="132"/>
    </row>
    <row r="48" spans="1:11">
      <c r="A48" s="5"/>
      <c r="B48" s="3" t="s">
        <v>58</v>
      </c>
      <c r="C48" s="156">
        <f>+'[1]Year end spend v budget'!C17</f>
        <v>400</v>
      </c>
      <c r="D48" s="153">
        <f>+'[1]Year end spend v budget'!B17</f>
        <v>250</v>
      </c>
      <c r="E48" s="153">
        <f t="shared" si="0"/>
        <v>150</v>
      </c>
      <c r="F48" s="153"/>
      <c r="G48" s="153">
        <f>+[2]Sheet1!F23</f>
        <v>400</v>
      </c>
      <c r="H48" s="153">
        <f>'Main Acc'!AZ142</f>
        <v>0</v>
      </c>
      <c r="I48" s="153">
        <f t="shared" ref="I48" si="13">H48/$AB$5*12</f>
        <v>0</v>
      </c>
      <c r="J48" s="146"/>
      <c r="K48" s="153">
        <v>1000</v>
      </c>
    </row>
    <row r="49" spans="1:28">
      <c r="A49" s="5"/>
      <c r="B49" s="3"/>
      <c r="C49" s="157">
        <f>SUM(C48:C48)</f>
        <v>400</v>
      </c>
      <c r="D49" s="157">
        <f>SUM(D48:D48)</f>
        <v>250</v>
      </c>
      <c r="E49" s="157">
        <f>SUM(E48:E48)</f>
        <v>150</v>
      </c>
      <c r="F49" s="158"/>
      <c r="G49" s="157">
        <f>SUM(G48:G48)</f>
        <v>400</v>
      </c>
      <c r="H49" s="157">
        <f>SUM(H48:H48)</f>
        <v>0</v>
      </c>
      <c r="I49" s="157">
        <f>SUM(I48:I48)</f>
        <v>0</v>
      </c>
      <c r="J49" s="146"/>
      <c r="K49" s="153">
        <f>K48</f>
        <v>1000</v>
      </c>
    </row>
    <row r="50" spans="1:28">
      <c r="A50" s="5"/>
      <c r="B50" s="3"/>
      <c r="C50" s="157"/>
      <c r="D50" s="157"/>
      <c r="E50" s="157"/>
      <c r="F50" s="158"/>
      <c r="G50" s="157"/>
      <c r="H50" s="153"/>
      <c r="I50" s="138"/>
      <c r="K50" s="132"/>
      <c r="T50" t="s">
        <v>547</v>
      </c>
    </row>
    <row r="51" spans="1:28">
      <c r="A51" s="5"/>
      <c r="B51" s="3" t="s">
        <v>57</v>
      </c>
      <c r="C51" s="157"/>
      <c r="D51" s="157"/>
      <c r="E51" s="157"/>
      <c r="F51" s="158"/>
      <c r="G51" s="157">
        <f>+[2]Sheet1!$F$24</f>
        <v>1000</v>
      </c>
      <c r="H51" s="153">
        <f>'Main Acc'!AY142</f>
        <v>0</v>
      </c>
      <c r="I51" s="153">
        <f>H51/$AB$5*12</f>
        <v>0</v>
      </c>
      <c r="J51" s="146"/>
      <c r="K51" s="153">
        <v>1000</v>
      </c>
    </row>
    <row r="52" spans="1:28" s="129" customFormat="1">
      <c r="A52" s="5"/>
      <c r="B52" s="3" t="s">
        <v>60</v>
      </c>
      <c r="C52" s="153"/>
      <c r="D52" s="153"/>
      <c r="E52" s="153"/>
      <c r="F52" s="153"/>
      <c r="G52" s="157">
        <v>100</v>
      </c>
      <c r="H52" s="153">
        <f>'Main Acc'!BC142</f>
        <v>25</v>
      </c>
      <c r="I52" s="153">
        <f>H52/$AB$5*12</f>
        <v>42.857142857142861</v>
      </c>
      <c r="J52" s="146"/>
      <c r="K52" s="153">
        <v>100</v>
      </c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</row>
    <row r="53" spans="1:28" s="129" customFormat="1">
      <c r="A53" s="5"/>
      <c r="B53" s="3"/>
      <c r="C53" s="153"/>
      <c r="D53" s="153"/>
      <c r="E53" s="153"/>
      <c r="F53" s="153"/>
      <c r="G53" s="157"/>
      <c r="H53" s="153"/>
      <c r="I53" s="153"/>
      <c r="J53" s="146"/>
      <c r="K53" s="153">
        <f>SUM(K51:K52)</f>
        <v>1100</v>
      </c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</row>
    <row r="54" spans="1:28" s="129" customFormat="1">
      <c r="A54" s="5"/>
      <c r="B54" s="3"/>
      <c r="C54" s="153"/>
      <c r="D54" s="153"/>
      <c r="E54" s="153"/>
      <c r="F54" s="153"/>
      <c r="G54" s="157"/>
      <c r="H54" s="153"/>
      <c r="I54" s="138"/>
      <c r="J54" s="137"/>
      <c r="K54" s="132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</row>
    <row r="55" spans="1:28" s="129" customFormat="1">
      <c r="A55" s="5"/>
      <c r="B55" s="60" t="s">
        <v>28</v>
      </c>
      <c r="C55" s="159">
        <f>+C11+C19+C22+C35+C40+C43+C46+C49</f>
        <v>40167.407999999996</v>
      </c>
      <c r="D55" s="159">
        <f>+D11+D19+D22+D35+D40+D43+D46+D49</f>
        <v>47591.229999999996</v>
      </c>
      <c r="E55" s="159">
        <f>+E11+E19+E22+E35+E40+E43+E46+E49</f>
        <v>-7423.8219999999983</v>
      </c>
      <c r="F55" s="153"/>
      <c r="G55" s="159">
        <f>+G11+G19+G22+G35+G40+G43+G46+G49+G51</f>
        <v>47542.51</v>
      </c>
      <c r="H55" s="159" t="e">
        <f>+H11+H19+H22+H35+H40+H43+H46+H49+H51+H52</f>
        <v>#REF!</v>
      </c>
      <c r="I55" s="159" t="e">
        <f>+I11+I19+I22+I35+I40+I43+I46+I49+I51</f>
        <v>#REF!</v>
      </c>
      <c r="J55" s="146"/>
      <c r="K55" s="153" t="e">
        <f>K53+K49+K46+K43+K40+K35+K22+K19+K11</f>
        <v>#REF!</v>
      </c>
      <c r="N55" s="180" t="s">
        <v>376</v>
      </c>
      <c r="O55" s="181" t="s">
        <v>548</v>
      </c>
      <c r="P55"/>
      <c r="Q55"/>
      <c r="R55"/>
      <c r="S55"/>
      <c r="T55"/>
      <c r="U55"/>
      <c r="V55"/>
      <c r="W55"/>
      <c r="X55"/>
      <c r="Y55"/>
      <c r="Z55"/>
      <c r="AA55"/>
      <c r="AB55"/>
    </row>
    <row r="56" spans="1:28" s="129" customFormat="1">
      <c r="A56"/>
      <c r="B56" s="11"/>
      <c r="C56" s="133"/>
      <c r="D56" s="132"/>
      <c r="E56" s="132"/>
      <c r="F56" s="138"/>
      <c r="G56" s="132"/>
      <c r="H56" s="132"/>
      <c r="I56" s="132"/>
      <c r="J56" s="137"/>
      <c r="K56" s="132"/>
      <c r="N56" s="179">
        <v>951</v>
      </c>
      <c r="O56" s="96" t="e">
        <f>K55</f>
        <v>#REF!</v>
      </c>
      <c r="P56"/>
      <c r="Q56"/>
      <c r="R56"/>
      <c r="S56"/>
      <c r="T56"/>
      <c r="U56"/>
      <c r="V56"/>
      <c r="W56"/>
      <c r="X56"/>
      <c r="Y56"/>
      <c r="Z56"/>
      <c r="AA56"/>
      <c r="AB56"/>
    </row>
    <row r="57" spans="1:28" s="129" customFormat="1">
      <c r="A57"/>
      <c r="B57" s="11"/>
      <c r="C57" s="133"/>
      <c r="D57" s="133"/>
      <c r="E57" s="133"/>
      <c r="F57" s="138"/>
      <c r="G57" s="136"/>
      <c r="H57" s="133"/>
      <c r="I57" s="133"/>
      <c r="J57" s="137"/>
      <c r="K57" s="133"/>
      <c r="N57" s="26">
        <f>G55+N56</f>
        <v>48493.51</v>
      </c>
      <c r="O57"/>
      <c r="P57"/>
      <c r="Q57"/>
      <c r="R57"/>
      <c r="S57"/>
      <c r="T57"/>
      <c r="U57"/>
      <c r="V57"/>
      <c r="W57"/>
      <c r="X57"/>
      <c r="Y57"/>
      <c r="Z57"/>
      <c r="AA57"/>
      <c r="AB57"/>
    </row>
    <row r="58" spans="1:28" s="129" customFormat="1">
      <c r="A58"/>
      <c r="B58" s="11"/>
      <c r="C58" s="131"/>
      <c r="F58" s="137"/>
      <c r="J58" s="137"/>
      <c r="L58" s="129">
        <f>47542.51-48416.05</f>
        <v>-873.54000000000087</v>
      </c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</row>
    <row r="59" spans="1:28" s="129" customFormat="1">
      <c r="A59"/>
      <c r="B59" s="11"/>
      <c r="C59" s="131"/>
      <c r="F59" s="137"/>
      <c r="J59" s="137"/>
      <c r="K59" s="133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</row>
    <row r="60" spans="1:28" s="129" customFormat="1">
      <c r="A60"/>
      <c r="B60" s="11"/>
      <c r="C60" s="131"/>
      <c r="F60" s="137"/>
      <c r="J60" s="137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</row>
    <row r="61" spans="1:28" s="129" customFormat="1">
      <c r="A61"/>
      <c r="B61" s="11"/>
      <c r="C61" s="131"/>
      <c r="F61" s="137"/>
      <c r="J61" s="137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</row>
    <row r="62" spans="1:28" s="129" customFormat="1">
      <c r="A62"/>
      <c r="B62" s="11"/>
      <c r="C62" s="131"/>
      <c r="F62" s="137"/>
      <c r="J62" s="137"/>
      <c r="L62" s="322"/>
      <c r="M62" s="323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</row>
    <row r="63" spans="1:28" s="129" customFormat="1">
      <c r="A63"/>
      <c r="B63" s="11"/>
      <c r="C63" s="131"/>
      <c r="F63" s="137"/>
      <c r="J63" s="137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</row>
    <row r="64" spans="1:28" s="129" customFormat="1">
      <c r="A64" s="121"/>
      <c r="B64" s="171"/>
      <c r="C64" s="172"/>
      <c r="D64" s="172"/>
      <c r="E64" s="172"/>
      <c r="F64" s="173"/>
      <c r="G64" s="172"/>
      <c r="H64" s="172"/>
      <c r="J64" s="137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</row>
    <row r="65" spans="1:28" s="129" customFormat="1" ht="15">
      <c r="A65" s="121"/>
      <c r="B65" s="174"/>
      <c r="C65" s="172"/>
      <c r="D65" s="172"/>
      <c r="E65" s="172"/>
      <c r="F65" s="173"/>
      <c r="G65" s="172"/>
      <c r="H65" s="172"/>
      <c r="J65" s="137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</row>
    <row r="66" spans="1:28" s="129" customFormat="1" ht="15">
      <c r="A66" s="121"/>
      <c r="B66" s="174"/>
      <c r="C66" s="172"/>
      <c r="D66" s="172"/>
      <c r="E66" s="172"/>
      <c r="F66" s="173"/>
      <c r="G66" s="172"/>
      <c r="H66" s="172"/>
      <c r="J66" s="137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</row>
    <row r="67" spans="1:28" s="129" customFormat="1" ht="15">
      <c r="A67" s="121"/>
      <c r="B67" s="174"/>
      <c r="C67" s="172"/>
      <c r="D67" s="172"/>
      <c r="E67" s="172"/>
      <c r="F67" s="173"/>
      <c r="G67" s="172"/>
      <c r="H67" s="172"/>
      <c r="J67" s="13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</row>
  </sheetData>
  <mergeCells count="4">
    <mergeCell ref="A2:B2"/>
    <mergeCell ref="C2:E2"/>
    <mergeCell ref="G2:I2"/>
    <mergeCell ref="L62:M62"/>
  </mergeCells>
  <pageMargins left="0.7" right="0.7" top="0.75" bottom="0.75" header="0.3" footer="0.3"/>
  <pageSetup paperSize="9" scale="46" orientation="landscape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6CC4B-6B56-4A6A-98BA-1B000C876A8F}">
  <sheetPr>
    <pageSetUpPr fitToPage="1"/>
  </sheetPr>
  <dimension ref="A1:AB68"/>
  <sheetViews>
    <sheetView zoomScale="90" zoomScaleNormal="90" workbookViewId="0">
      <pane xSplit="2" ySplit="4" topLeftCell="F17" activePane="bottomRight" state="frozen"/>
      <selection pane="bottomRight" activeCell="I14" sqref="I14"/>
      <selection pane="bottomLeft" activeCell="A4" sqref="A4"/>
      <selection pane="topRight" activeCell="C1" sqref="C1"/>
    </sheetView>
  </sheetViews>
  <sheetFormatPr defaultRowHeight="12.75"/>
  <cols>
    <col min="1" max="1" width="18" bestFit="1" customWidth="1"/>
    <col min="2" max="2" width="27.5703125" style="11" customWidth="1"/>
    <col min="3" max="3" width="10.7109375" style="129" hidden="1" customWidth="1"/>
    <col min="4" max="4" width="9.85546875" style="129" hidden="1" customWidth="1"/>
    <col min="5" max="5" width="11.140625" style="129" hidden="1" customWidth="1"/>
    <col min="6" max="6" width="2" style="137" customWidth="1"/>
    <col min="7" max="7" width="12" style="129" bestFit="1" customWidth="1"/>
    <col min="8" max="8" width="11.28515625" style="129" customWidth="1"/>
    <col min="9" max="9" width="12.28515625" style="129" customWidth="1"/>
    <col min="10" max="10" width="2.7109375" style="137" customWidth="1"/>
    <col min="11" max="11" width="11.28515625" style="129" customWidth="1"/>
    <col min="12" max="12" width="11.42578125" style="129" customWidth="1"/>
    <col min="13" max="13" width="11.28515625" style="129" customWidth="1"/>
    <col min="14" max="14" width="12" bestFit="1" customWidth="1"/>
    <col min="15" max="15" width="21" bestFit="1" customWidth="1"/>
    <col min="17" max="17" width="10.140625" bestFit="1" customWidth="1"/>
    <col min="18" max="18" width="9.5703125" bestFit="1" customWidth="1"/>
    <col min="27" max="27" width="14.7109375" customWidth="1"/>
  </cols>
  <sheetData>
    <row r="1" spans="1:28">
      <c r="A1" s="5"/>
      <c r="B1" s="3"/>
      <c r="C1" s="146"/>
      <c r="D1" s="146"/>
      <c r="E1" s="146"/>
      <c r="F1" s="146"/>
      <c r="G1" s="146"/>
      <c r="H1" s="146"/>
      <c r="I1" s="146"/>
      <c r="K1" s="146"/>
    </row>
    <row r="2" spans="1:28">
      <c r="A2" s="320" t="s">
        <v>541</v>
      </c>
      <c r="B2" s="321"/>
      <c r="C2" s="316" t="s">
        <v>367</v>
      </c>
      <c r="D2" s="316"/>
      <c r="E2" s="316"/>
      <c r="F2" s="146"/>
      <c r="G2" s="316" t="s">
        <v>369</v>
      </c>
      <c r="H2" s="316"/>
      <c r="I2" s="316"/>
      <c r="K2" s="5">
        <v>2019</v>
      </c>
    </row>
    <row r="3" spans="1:28">
      <c r="A3" s="5"/>
      <c r="B3" s="3"/>
      <c r="C3" s="149"/>
      <c r="D3" s="149"/>
      <c r="E3" s="149"/>
      <c r="F3" s="146"/>
      <c r="G3" s="150"/>
      <c r="H3" s="146"/>
      <c r="I3" s="146"/>
      <c r="K3" s="146"/>
    </row>
    <row r="4" spans="1:28">
      <c r="A4" s="5"/>
      <c r="B4" s="60" t="s">
        <v>25</v>
      </c>
      <c r="C4" s="149" t="s">
        <v>370</v>
      </c>
      <c r="D4" s="149" t="s">
        <v>371</v>
      </c>
      <c r="E4" s="149" t="s">
        <v>372</v>
      </c>
      <c r="F4" s="146"/>
      <c r="G4" s="149" t="s">
        <v>370</v>
      </c>
      <c r="H4" s="149" t="s">
        <v>371</v>
      </c>
      <c r="I4" s="149" t="s">
        <v>542</v>
      </c>
      <c r="K4" s="149" t="s">
        <v>370</v>
      </c>
      <c r="L4" s="131"/>
    </row>
    <row r="5" spans="1:28">
      <c r="A5" s="5"/>
      <c r="B5" s="3"/>
      <c r="C5" s="152"/>
      <c r="D5" s="153"/>
      <c r="E5" s="153"/>
      <c r="F5" s="146"/>
      <c r="G5" s="146"/>
      <c r="H5" s="146"/>
      <c r="I5" s="176"/>
      <c r="K5" s="146"/>
      <c r="AA5" t="s">
        <v>543</v>
      </c>
      <c r="AB5">
        <v>11</v>
      </c>
    </row>
    <row r="6" spans="1:28">
      <c r="A6" s="60" t="s">
        <v>375</v>
      </c>
      <c r="B6" s="3"/>
      <c r="C6" s="154"/>
      <c r="D6" s="155"/>
      <c r="E6" s="155"/>
      <c r="F6" s="146"/>
      <c r="G6" s="150"/>
      <c r="H6" s="146"/>
      <c r="I6" s="146"/>
      <c r="J6" s="146"/>
      <c r="K6" s="146"/>
    </row>
    <row r="7" spans="1:28">
      <c r="A7" s="5"/>
      <c r="B7" s="128" t="s">
        <v>36</v>
      </c>
      <c r="C7" s="156">
        <f>+'[1]Year end spend v budget'!C2</f>
        <v>3825.4079999999999</v>
      </c>
      <c r="D7" s="153">
        <f>+'[1]Year end spend v budget'!B2</f>
        <v>5174.3499999999995</v>
      </c>
      <c r="E7" s="153">
        <f>+C7-D7</f>
        <v>-1348.9419999999996</v>
      </c>
      <c r="F7" s="150"/>
      <c r="G7" s="153">
        <v>5994.32</v>
      </c>
      <c r="H7" s="146">
        <f>'Main Acc'!AD142</f>
        <v>5105.4500000000007</v>
      </c>
      <c r="I7" s="153">
        <f>H7/$AB$5*12</f>
        <v>5569.5818181818186</v>
      </c>
      <c r="J7" s="146"/>
      <c r="K7" s="153">
        <f>I7</f>
        <v>5569.5818181818186</v>
      </c>
    </row>
    <row r="8" spans="1:28">
      <c r="A8" s="5"/>
      <c r="B8" s="3" t="str">
        <f>'Main Acc'!AG3</f>
        <v>Payroll</v>
      </c>
      <c r="C8" s="156">
        <f>+'[1]Year end spend v budget'!C3</f>
        <v>1141</v>
      </c>
      <c r="D8" s="153">
        <f>+'[1]Year end spend v budget'!B3</f>
        <v>217.26</v>
      </c>
      <c r="E8" s="153">
        <f t="shared" ref="E8:E49" si="0">+C8-D8</f>
        <v>923.74</v>
      </c>
      <c r="F8" s="146"/>
      <c r="G8" s="153">
        <v>0</v>
      </c>
      <c r="H8" s="146"/>
      <c r="I8" s="153">
        <f t="shared" ref="I8:I10" si="1">H8/$AB$5*12</f>
        <v>0</v>
      </c>
      <c r="J8" s="146"/>
      <c r="K8" s="153">
        <f t="shared" ref="K8:K10" si="2">I8</f>
        <v>0</v>
      </c>
      <c r="O8" s="161"/>
    </row>
    <row r="9" spans="1:28">
      <c r="A9" s="5"/>
      <c r="B9" s="3" t="s">
        <v>39</v>
      </c>
      <c r="C9" s="156"/>
      <c r="D9" s="153"/>
      <c r="E9" s="153"/>
      <c r="F9" s="146"/>
      <c r="G9" s="153">
        <v>117</v>
      </c>
      <c r="H9" s="153">
        <f>'Main Acc'!AG142</f>
        <v>156</v>
      </c>
      <c r="I9" s="153">
        <f>H9</f>
        <v>156</v>
      </c>
      <c r="J9" s="146"/>
      <c r="K9" s="153">
        <v>125</v>
      </c>
    </row>
    <row r="10" spans="1:28">
      <c r="A10" s="5"/>
      <c r="B10" s="3" t="str">
        <f>'Main Acc'!AH3</f>
        <v>Clerks Expenses/Purchases on PC's behalf</v>
      </c>
      <c r="C10" s="156">
        <f>+'[1]Year end spend v budget'!C4</f>
        <v>879</v>
      </c>
      <c r="D10" s="153">
        <f>+'[1]Year end spend v budget'!B4</f>
        <v>1750.82</v>
      </c>
      <c r="E10" s="153">
        <f t="shared" si="0"/>
        <v>-871.81999999999994</v>
      </c>
      <c r="F10" s="150"/>
      <c r="G10" s="153">
        <v>791.99</v>
      </c>
      <c r="H10" s="153">
        <f>'Main Acc'!AH142</f>
        <v>1317.73</v>
      </c>
      <c r="I10" s="153">
        <f t="shared" si="1"/>
        <v>1437.5236363636363</v>
      </c>
      <c r="J10" s="146"/>
      <c r="K10" s="153">
        <f t="shared" si="2"/>
        <v>1437.5236363636363</v>
      </c>
    </row>
    <row r="11" spans="1:28">
      <c r="A11" s="5"/>
      <c r="B11" s="3"/>
      <c r="C11" s="157">
        <f>SUM(C7:C10)</f>
        <v>5845.4079999999994</v>
      </c>
      <c r="D11" s="157">
        <f t="shared" ref="D11:I11" si="3">SUM(D7:D10)</f>
        <v>7142.4299999999994</v>
      </c>
      <c r="E11" s="157">
        <f t="shared" si="3"/>
        <v>-1297.0219999999995</v>
      </c>
      <c r="F11" s="150"/>
      <c r="G11" s="157">
        <f t="shared" si="3"/>
        <v>6903.3099999999995</v>
      </c>
      <c r="H11" s="157">
        <f>SUM(H7:H10)</f>
        <v>6579.18</v>
      </c>
      <c r="I11" s="157">
        <f t="shared" si="3"/>
        <v>7163.1054545454554</v>
      </c>
      <c r="J11" s="146"/>
      <c r="K11" s="153">
        <f>SUM(K7:K10)</f>
        <v>7132.1054545454554</v>
      </c>
    </row>
    <row r="12" spans="1:28">
      <c r="A12" s="60" t="s">
        <v>377</v>
      </c>
      <c r="B12" s="3"/>
      <c r="C12" s="156"/>
      <c r="D12" s="153"/>
      <c r="E12" s="153"/>
      <c r="F12" s="150"/>
      <c r="G12" s="153"/>
      <c r="H12" s="153"/>
      <c r="I12" s="138"/>
      <c r="K12" s="132"/>
    </row>
    <row r="13" spans="1:28">
      <c r="A13" s="5"/>
      <c r="B13" s="3" t="str">
        <f>'Main Acc'!AI3</f>
        <v xml:space="preserve">Insurance </v>
      </c>
      <c r="C13" s="156">
        <f>+'[1]Year end spend v budget'!C5</f>
        <v>1010</v>
      </c>
      <c r="D13" s="153">
        <f>+'[1]Year end spend v budget'!B5</f>
        <v>1016.51</v>
      </c>
      <c r="E13" s="153">
        <f t="shared" si="0"/>
        <v>-6.5099999999999909</v>
      </c>
      <c r="F13" s="146"/>
      <c r="G13" s="153">
        <v>1113.54</v>
      </c>
      <c r="H13" s="153">
        <f>'Main Acc'!AI142</f>
        <v>2044.56</v>
      </c>
      <c r="I13" s="153">
        <f>H13</f>
        <v>2044.56</v>
      </c>
      <c r="J13" s="146"/>
      <c r="K13" s="153">
        <v>1250</v>
      </c>
    </row>
    <row r="14" spans="1:28">
      <c r="A14" s="5"/>
      <c r="B14" s="3" t="str">
        <f>'Main Acc'!AJ3</f>
        <v>Audit Fees internal</v>
      </c>
      <c r="C14" s="156">
        <f>+'[1]Year end spend v budget'!C6</f>
        <v>128</v>
      </c>
      <c r="D14" s="153">
        <f>+'[1]Year end spend v budget'!B6</f>
        <v>135</v>
      </c>
      <c r="E14" s="153">
        <f t="shared" si="0"/>
        <v>-7</v>
      </c>
      <c r="F14" s="146"/>
      <c r="G14" s="153">
        <v>130</v>
      </c>
      <c r="H14" s="153">
        <f>+'Main Acc'!U142</f>
        <v>0</v>
      </c>
      <c r="I14" s="153">
        <f t="shared" ref="I14:I18" si="4">H14/$AB$5*12</f>
        <v>0</v>
      </c>
      <c r="J14" s="146"/>
      <c r="K14" s="153">
        <v>130</v>
      </c>
    </row>
    <row r="15" spans="1:28">
      <c r="A15" s="5"/>
      <c r="B15" s="3" t="s">
        <v>380</v>
      </c>
      <c r="C15" s="156">
        <f>+'[1]Year end spend v budget'!C7</f>
        <v>240</v>
      </c>
      <c r="D15" s="153">
        <f>+'[1]Year end spend v budget'!B7</f>
        <v>240</v>
      </c>
      <c r="E15" s="153">
        <f t="shared" si="0"/>
        <v>0</v>
      </c>
      <c r="F15" s="146"/>
      <c r="G15" s="153">
        <v>249.7</v>
      </c>
      <c r="H15" s="153">
        <f>+'Main Acc'!V142</f>
        <v>0</v>
      </c>
      <c r="I15" s="153">
        <f t="shared" si="4"/>
        <v>0</v>
      </c>
      <c r="J15" s="146"/>
      <c r="K15" s="153">
        <v>250</v>
      </c>
    </row>
    <row r="16" spans="1:28">
      <c r="A16" s="5"/>
      <c r="B16" s="3" t="str">
        <f>'Main Acc'!AW3</f>
        <v>PWLB 491409</v>
      </c>
      <c r="C16" s="156">
        <f>+'[1]Year end spend v budget'!C20</f>
        <v>1540</v>
      </c>
      <c r="D16" s="153">
        <f>+'[1]Year end spend v budget'!B20</f>
        <v>1541.82</v>
      </c>
      <c r="E16" s="153">
        <f>+C16-D16</f>
        <v>-1.8199999999999363</v>
      </c>
      <c r="F16" s="146"/>
      <c r="G16" s="153">
        <f>+[2]Sheet1!F16</f>
        <v>1540</v>
      </c>
      <c r="H16" s="153">
        <f>'Main Acc'!AW142</f>
        <v>1167.1400000000001</v>
      </c>
      <c r="I16" s="153">
        <f t="shared" si="4"/>
        <v>1273.2436363636364</v>
      </c>
      <c r="J16" s="146"/>
      <c r="K16" s="153">
        <f t="shared" ref="K16:K18" si="5">I16</f>
        <v>1273.2436363636364</v>
      </c>
    </row>
    <row r="17" spans="1:11">
      <c r="A17" s="5"/>
      <c r="B17" s="3" t="e">
        <f>'Main Acc'!#REF!</f>
        <v>#REF!</v>
      </c>
      <c r="C17" s="156">
        <f>+'[1]Year end spend v budget'!C21</f>
        <v>2334</v>
      </c>
      <c r="D17" s="153">
        <f>+'[1]Year end spend v budget'!B21</f>
        <v>2334.2800000000002</v>
      </c>
      <c r="E17" s="153">
        <f>+C17-D17</f>
        <v>-0.28000000000020009</v>
      </c>
      <c r="F17" s="150"/>
      <c r="G17" s="153">
        <f>+[2]Sheet1!F17</f>
        <v>2334</v>
      </c>
      <c r="H17" s="153" t="e">
        <f>'Main Acc'!#REF!</f>
        <v>#REF!</v>
      </c>
      <c r="I17" s="153" t="e">
        <f t="shared" si="4"/>
        <v>#REF!</v>
      </c>
      <c r="J17" s="146"/>
      <c r="K17" s="153" t="e">
        <f t="shared" si="5"/>
        <v>#REF!</v>
      </c>
    </row>
    <row r="18" spans="1:11">
      <c r="A18" s="5"/>
      <c r="B18" s="3" t="str">
        <f>'Main Acc'!AX3</f>
        <v>PWLB  482031</v>
      </c>
      <c r="C18" s="156">
        <f>+'[1]Year end spend v budget'!C22</f>
        <v>1662</v>
      </c>
      <c r="D18" s="153">
        <f>+'[1]Year end spend v budget'!B22</f>
        <v>1663.3</v>
      </c>
      <c r="E18" s="153">
        <f>+C18-D18</f>
        <v>-1.2999999999999545</v>
      </c>
      <c r="F18" s="146"/>
      <c r="G18" s="153">
        <f>+[2]Sheet1!F18</f>
        <v>1662</v>
      </c>
      <c r="H18" s="153">
        <f>'Main Acc'!AX142</f>
        <v>1541.99</v>
      </c>
      <c r="I18" s="153">
        <f t="shared" si="4"/>
        <v>1682.1709090909092</v>
      </c>
      <c r="J18" s="146"/>
      <c r="K18" s="153">
        <f t="shared" si="5"/>
        <v>1682.1709090909092</v>
      </c>
    </row>
    <row r="19" spans="1:11">
      <c r="A19" s="5"/>
      <c r="B19" s="3"/>
      <c r="C19" s="157">
        <f>SUM(C13:C18)</f>
        <v>6914</v>
      </c>
      <c r="D19" s="157">
        <f>SUM(D13:D18)</f>
        <v>6930.9100000000008</v>
      </c>
      <c r="E19" s="157">
        <f>SUM(E13:E18)</f>
        <v>-16.910000000000082</v>
      </c>
      <c r="F19" s="150"/>
      <c r="G19" s="157">
        <f>SUM(G13:G18)</f>
        <v>7029.24</v>
      </c>
      <c r="H19" s="157" t="e">
        <f>SUM(H13:H18)</f>
        <v>#REF!</v>
      </c>
      <c r="I19" s="157" t="e">
        <f>SUM(I13:I18)</f>
        <v>#REF!</v>
      </c>
      <c r="J19" s="146"/>
      <c r="K19" s="153" t="e">
        <f>SUM(K13:K18)</f>
        <v>#REF!</v>
      </c>
    </row>
    <row r="20" spans="1:11">
      <c r="A20" s="60" t="s">
        <v>382</v>
      </c>
      <c r="B20" s="60"/>
      <c r="C20" s="156"/>
      <c r="D20" s="153"/>
      <c r="E20" s="153"/>
      <c r="F20" s="146"/>
      <c r="G20" s="153"/>
      <c r="H20" s="153"/>
      <c r="I20" s="138"/>
      <c r="K20" s="132"/>
    </row>
    <row r="21" spans="1:11">
      <c r="A21" s="5"/>
      <c r="B21" s="3" t="str">
        <f>'Main Acc'!AL3</f>
        <v>Membership and Training</v>
      </c>
      <c r="C21" s="156">
        <f>+'[1]Year end spend v budget'!C8</f>
        <v>664</v>
      </c>
      <c r="D21" s="153">
        <f>+'[1]Year end spend v budget'!B8</f>
        <v>988.49</v>
      </c>
      <c r="E21" s="153">
        <f t="shared" si="0"/>
        <v>-324.49</v>
      </c>
      <c r="F21" s="146"/>
      <c r="G21" s="153">
        <v>690</v>
      </c>
      <c r="H21" s="153">
        <f>+'Main Acc'!W142</f>
        <v>0</v>
      </c>
      <c r="I21" s="153">
        <f t="shared" ref="I21" si="6">H21/$AB$5*12</f>
        <v>0</v>
      </c>
      <c r="J21" s="146"/>
      <c r="K21" s="153">
        <v>800</v>
      </c>
    </row>
    <row r="22" spans="1:11">
      <c r="A22" s="5"/>
      <c r="B22" s="3"/>
      <c r="C22" s="157">
        <f>SUM(C20:C21)</f>
        <v>664</v>
      </c>
      <c r="D22" s="157">
        <f>SUM(D20:D21)</f>
        <v>988.49</v>
      </c>
      <c r="E22" s="157">
        <f>SUM(E20:E21)</f>
        <v>-324.49</v>
      </c>
      <c r="F22" s="146"/>
      <c r="G22" s="157">
        <f>SUM(G20:G21)</f>
        <v>690</v>
      </c>
      <c r="H22" s="157">
        <f>SUM(H20:H21)</f>
        <v>0</v>
      </c>
      <c r="I22" s="157">
        <f>SUM(I20:I21)</f>
        <v>0</v>
      </c>
      <c r="J22" s="146"/>
      <c r="K22" s="153">
        <v>800</v>
      </c>
    </row>
    <row r="23" spans="1:11">
      <c r="A23" s="60" t="s">
        <v>385</v>
      </c>
      <c r="B23" s="3"/>
      <c r="C23" s="156"/>
      <c r="D23" s="153"/>
      <c r="E23" s="153"/>
      <c r="F23" s="146"/>
      <c r="G23" s="153"/>
      <c r="H23" s="153"/>
      <c r="I23" s="177"/>
      <c r="K23" s="132"/>
    </row>
    <row r="24" spans="1:11">
      <c r="A24" s="5"/>
      <c r="B24" s="3" t="str">
        <f>'Main Acc'!AM3</f>
        <v>Caretaker</v>
      </c>
      <c r="C24" s="156">
        <f>+'[1]Year end spend v budget'!C9</f>
        <v>2652</v>
      </c>
      <c r="D24" s="153">
        <f>+'[1]Year end spend v budget'!B9</f>
        <v>2844</v>
      </c>
      <c r="E24" s="153">
        <f t="shared" si="0"/>
        <v>-192</v>
      </c>
      <c r="F24" s="150"/>
      <c r="G24" s="153">
        <v>2448</v>
      </c>
      <c r="H24" s="153">
        <f>'Main Acc'!AM142</f>
        <v>2522.2800000000002</v>
      </c>
      <c r="I24" s="153">
        <f t="shared" ref="I24:I31" si="7">H24/$AB$5*12</f>
        <v>2751.5781818181822</v>
      </c>
      <c r="J24" s="146"/>
      <c r="K24" s="153">
        <v>3000</v>
      </c>
    </row>
    <row r="25" spans="1:11">
      <c r="A25" s="5"/>
      <c r="B25" s="3" t="str">
        <f>'Main Acc'!AN3</f>
        <v>Equipment purchase</v>
      </c>
      <c r="C25" s="156">
        <f>+'[1]Year end spend v budget'!C10</f>
        <v>78</v>
      </c>
      <c r="D25" s="153">
        <f>+'[1]Year end spend v budget'!B10</f>
        <v>78.790000000000006</v>
      </c>
      <c r="E25" s="153">
        <f t="shared" si="0"/>
        <v>-0.79000000000000625</v>
      </c>
      <c r="F25" s="150"/>
      <c r="G25" s="153">
        <v>1070</v>
      </c>
      <c r="H25" s="153">
        <f>+'Main Acc'!Y142</f>
        <v>0</v>
      </c>
      <c r="I25" s="153">
        <f t="shared" si="7"/>
        <v>0</v>
      </c>
      <c r="J25" s="146"/>
      <c r="K25" s="153">
        <v>500</v>
      </c>
    </row>
    <row r="26" spans="1:11">
      <c r="A26" s="5"/>
      <c r="B26" s="3" t="str">
        <f>'Main Acc'!AT3</f>
        <v>Pavilion Maintenance</v>
      </c>
      <c r="C26" s="156">
        <f>+'[1]Year end spend v budget'!C15</f>
        <v>1071</v>
      </c>
      <c r="D26" s="153">
        <f>+'[1]Year end spend v budget'!B15</f>
        <v>1900.08</v>
      </c>
      <c r="E26" s="153">
        <f>+C26-D26</f>
        <v>-829.07999999999993</v>
      </c>
      <c r="F26" s="146"/>
      <c r="G26" s="153">
        <v>1000</v>
      </c>
      <c r="H26" s="153">
        <f>'Main Acc'!AT142</f>
        <v>1228.8</v>
      </c>
      <c r="I26" s="153">
        <f t="shared" si="7"/>
        <v>1340.5090909090909</v>
      </c>
      <c r="J26" s="146"/>
      <c r="K26" s="153">
        <f t="shared" ref="K26" si="8">I26</f>
        <v>1340.5090909090909</v>
      </c>
    </row>
    <row r="27" spans="1:11">
      <c r="A27" s="5"/>
      <c r="B27" s="3" t="s">
        <v>59</v>
      </c>
      <c r="C27" s="156">
        <f>+'[1]Year end spend v budget'!C16</f>
        <v>1500</v>
      </c>
      <c r="D27" s="153">
        <f>+'[1]Year end spend v budget'!B16</f>
        <v>486.62</v>
      </c>
      <c r="E27" s="153">
        <f>+C27-D27</f>
        <v>1013.38</v>
      </c>
      <c r="F27" s="150"/>
      <c r="G27" s="153">
        <v>1500</v>
      </c>
      <c r="H27" s="153">
        <f>'Main Acc'!BA142</f>
        <v>2013.9700000000003</v>
      </c>
      <c r="I27" s="153">
        <f t="shared" si="7"/>
        <v>2197.0581818181822</v>
      </c>
      <c r="J27" s="146"/>
      <c r="K27" s="153">
        <v>2000</v>
      </c>
    </row>
    <row r="28" spans="1:11">
      <c r="A28" s="5"/>
      <c r="B28" s="3" t="str">
        <f>'Main Acc'!AO3</f>
        <v>Recreation Maintenance</v>
      </c>
      <c r="C28" s="156">
        <f>+'[1]Year end spend v budget'!C11</f>
        <v>1836</v>
      </c>
      <c r="D28" s="153">
        <f>+'[1]Year end spend v budget'!B11</f>
        <v>23252.949999999997</v>
      </c>
      <c r="E28" s="153">
        <f t="shared" si="0"/>
        <v>-21416.949999999997</v>
      </c>
      <c r="F28" s="150"/>
      <c r="G28" s="153">
        <v>10392.719999999999</v>
      </c>
      <c r="H28" s="153">
        <f>+'Main Acc'!Z142</f>
        <v>0</v>
      </c>
      <c r="I28" s="153">
        <f t="shared" si="7"/>
        <v>0</v>
      </c>
      <c r="J28" s="146"/>
      <c r="K28" s="153">
        <v>10000</v>
      </c>
    </row>
    <row r="29" spans="1:11">
      <c r="A29" s="5"/>
      <c r="B29" s="3" t="str">
        <f>'Main Acc'!AP3</f>
        <v>Playground Maintenance</v>
      </c>
      <c r="C29" s="156">
        <f>+'[1]Year end spend v budget'!C12</f>
        <v>1836</v>
      </c>
      <c r="D29" s="153">
        <f>+'[1]Year end spend v budget'!B12</f>
        <v>666</v>
      </c>
      <c r="E29" s="153">
        <f t="shared" si="0"/>
        <v>1170</v>
      </c>
      <c r="F29" s="146"/>
      <c r="G29" s="153">
        <v>5000</v>
      </c>
      <c r="H29" s="153">
        <f>+'Main Acc'!AA142</f>
        <v>0</v>
      </c>
      <c r="I29" s="153">
        <f t="shared" si="7"/>
        <v>0</v>
      </c>
      <c r="J29" s="146"/>
      <c r="K29" s="153">
        <v>5000</v>
      </c>
    </row>
    <row r="30" spans="1:11">
      <c r="A30" s="5"/>
      <c r="B30" s="3" t="s">
        <v>387</v>
      </c>
      <c r="C30" s="156"/>
      <c r="D30" s="153"/>
      <c r="E30" s="153"/>
      <c r="F30" s="146"/>
      <c r="G30" s="153">
        <v>1500</v>
      </c>
      <c r="H30" s="153">
        <f>+'Main Acc'!AA143</f>
        <v>0</v>
      </c>
      <c r="I30" s="153">
        <f t="shared" si="7"/>
        <v>0</v>
      </c>
      <c r="J30" s="146"/>
      <c r="K30" s="153">
        <v>1500</v>
      </c>
    </row>
    <row r="31" spans="1:11">
      <c r="A31" s="5"/>
      <c r="B31" s="3" t="s">
        <v>389</v>
      </c>
      <c r="C31" s="156"/>
      <c r="D31" s="153"/>
      <c r="E31" s="153"/>
      <c r="F31" s="146"/>
      <c r="G31" s="153">
        <f>+[2]Sheet1!$F$25</f>
        <v>125</v>
      </c>
      <c r="H31" s="153">
        <f>+'Main Acc'!AA144</f>
        <v>0</v>
      </c>
      <c r="I31" s="153">
        <f t="shared" si="7"/>
        <v>0</v>
      </c>
      <c r="J31" s="146"/>
      <c r="K31" s="153">
        <v>125</v>
      </c>
    </row>
    <row r="32" spans="1:11">
      <c r="A32" s="5"/>
      <c r="B32" s="3" t="s">
        <v>544</v>
      </c>
      <c r="C32" s="156"/>
      <c r="D32" s="153"/>
      <c r="E32" s="153"/>
      <c r="F32" s="146"/>
      <c r="G32" s="153"/>
      <c r="H32" s="153"/>
      <c r="I32" s="153">
        <v>250</v>
      </c>
      <c r="J32" s="146"/>
      <c r="K32" s="153">
        <v>250</v>
      </c>
    </row>
    <row r="33" spans="1:11">
      <c r="A33" s="5"/>
      <c r="B33" s="3" t="s">
        <v>545</v>
      </c>
      <c r="C33" s="156"/>
      <c r="D33" s="153"/>
      <c r="E33" s="153"/>
      <c r="F33" s="146"/>
      <c r="G33" s="153"/>
      <c r="H33" s="153"/>
      <c r="I33" s="153">
        <v>500</v>
      </c>
      <c r="J33" s="146"/>
      <c r="K33" s="153">
        <v>500</v>
      </c>
    </row>
    <row r="34" spans="1:11">
      <c r="A34" s="5"/>
      <c r="B34" s="3" t="s">
        <v>546</v>
      </c>
      <c r="C34" s="156"/>
      <c r="D34" s="153"/>
      <c r="E34" s="153"/>
      <c r="F34" s="146"/>
      <c r="G34" s="153"/>
      <c r="H34" s="153"/>
      <c r="I34" s="153">
        <v>500</v>
      </c>
      <c r="J34" s="146"/>
      <c r="K34" s="153">
        <v>500</v>
      </c>
    </row>
    <row r="35" spans="1:11">
      <c r="A35" s="5"/>
      <c r="B35" s="3"/>
      <c r="C35" s="157">
        <f>SUM(C24:C29)</f>
        <v>8973</v>
      </c>
      <c r="D35" s="157">
        <f>SUM(D24:D29)</f>
        <v>29228.439999999995</v>
      </c>
      <c r="E35" s="157">
        <f>SUM(E24:E29)</f>
        <v>-20255.439999999999</v>
      </c>
      <c r="F35" s="146"/>
      <c r="G35" s="157">
        <f>SUM(G24:G31)</f>
        <v>23035.72</v>
      </c>
      <c r="H35" s="157">
        <f>SUM(H24:H31)</f>
        <v>5765.05</v>
      </c>
      <c r="I35" s="157">
        <f>SUM(I24:I31)</f>
        <v>6289.1454545454553</v>
      </c>
      <c r="J35" s="146"/>
      <c r="K35" s="153">
        <f>SUM(K21:K34)</f>
        <v>26315.50909090909</v>
      </c>
    </row>
    <row r="36" spans="1:11">
      <c r="A36" s="5"/>
      <c r="B36" s="3"/>
      <c r="C36" s="157"/>
      <c r="D36" s="157"/>
      <c r="E36" s="157"/>
      <c r="F36" s="146"/>
      <c r="G36" s="157"/>
      <c r="H36" s="157"/>
      <c r="I36" s="157"/>
      <c r="K36" s="132"/>
    </row>
    <row r="37" spans="1:11">
      <c r="A37" s="60" t="s">
        <v>391</v>
      </c>
      <c r="B37" s="3"/>
      <c r="C37" s="156"/>
      <c r="D37" s="153"/>
      <c r="E37" s="153"/>
      <c r="F37" s="146"/>
      <c r="G37" s="146"/>
      <c r="H37" s="153"/>
      <c r="I37" s="178"/>
      <c r="K37" s="132"/>
    </row>
    <row r="38" spans="1:11">
      <c r="A38" s="5"/>
      <c r="B38" s="3" t="str">
        <f>'Main Acc'!AR3</f>
        <v>Barcombe Mills Rates</v>
      </c>
      <c r="C38" s="156">
        <f>+'[1]Year end spend v budget'!C13</f>
        <v>280</v>
      </c>
      <c r="D38" s="153">
        <f>+'[1]Year end spend v budget'!B13</f>
        <v>0</v>
      </c>
      <c r="E38" s="153">
        <f t="shared" si="0"/>
        <v>280</v>
      </c>
      <c r="F38" s="150"/>
      <c r="G38" s="153">
        <v>317.24</v>
      </c>
      <c r="H38" s="153">
        <f>+'Main Acc'!AB142</f>
        <v>-100</v>
      </c>
      <c r="I38" s="153">
        <f t="shared" ref="I38:I39" si="9">H38/$AB$5*12</f>
        <v>-109.09090909090909</v>
      </c>
      <c r="J38" s="146"/>
      <c r="K38" s="153">
        <v>350</v>
      </c>
    </row>
    <row r="39" spans="1:11">
      <c r="A39" s="5"/>
      <c r="B39" s="3" t="s">
        <v>51</v>
      </c>
      <c r="C39" s="156">
        <f>+'[1]Year end spend v budget'!C14</f>
        <v>1071</v>
      </c>
      <c r="D39" s="153">
        <f>+'[1]Year end spend v budget'!B14</f>
        <v>2182.4</v>
      </c>
      <c r="E39" s="153">
        <f t="shared" si="0"/>
        <v>-1111.4000000000001</v>
      </c>
      <c r="F39" s="150"/>
      <c r="G39" s="153">
        <v>1667</v>
      </c>
      <c r="H39" s="153">
        <f>'Main Acc'!AS142</f>
        <v>0</v>
      </c>
      <c r="I39" s="153">
        <f t="shared" si="9"/>
        <v>0</v>
      </c>
      <c r="J39" s="146"/>
      <c r="K39" s="153">
        <v>1200</v>
      </c>
    </row>
    <row r="40" spans="1:11">
      <c r="A40" s="5"/>
      <c r="B40" s="3"/>
      <c r="C40" s="157">
        <f>SUM(C38:C39)</f>
        <v>1351</v>
      </c>
      <c r="D40" s="157">
        <f t="shared" ref="D40:I40" si="10">SUM(D38:D39)</f>
        <v>2182.4</v>
      </c>
      <c r="E40" s="157">
        <f t="shared" si="10"/>
        <v>-831.40000000000009</v>
      </c>
      <c r="F40" s="150"/>
      <c r="G40" s="157">
        <f t="shared" si="10"/>
        <v>1984.24</v>
      </c>
      <c r="H40" s="157">
        <f t="shared" si="10"/>
        <v>-100</v>
      </c>
      <c r="I40" s="157">
        <f t="shared" si="10"/>
        <v>-109.09090909090909</v>
      </c>
      <c r="J40" s="146"/>
      <c r="K40" s="153">
        <f>SUM(K38:K39)</f>
        <v>1550</v>
      </c>
    </row>
    <row r="41" spans="1:11">
      <c r="A41" s="60" t="s">
        <v>53</v>
      </c>
      <c r="B41" s="3"/>
      <c r="C41" s="156"/>
      <c r="D41" s="153"/>
      <c r="E41" s="153"/>
      <c r="F41" s="150"/>
      <c r="G41" s="153"/>
      <c r="H41" s="153"/>
      <c r="I41" s="138"/>
      <c r="K41" s="132"/>
    </row>
    <row r="42" spans="1:11">
      <c r="A42" s="5"/>
      <c r="B42" s="3" t="s">
        <v>53</v>
      </c>
      <c r="C42" s="156">
        <f>+'[1]Year end spend v budget'!C18</f>
        <v>15000</v>
      </c>
      <c r="D42" s="153">
        <f>+'[1]Year end spend v budget'!B18</f>
        <v>480</v>
      </c>
      <c r="E42" s="153">
        <f>+C42-D42</f>
        <v>14520</v>
      </c>
      <c r="F42" s="150"/>
      <c r="G42" s="153">
        <f>+[2]Sheet1!$F$21</f>
        <v>1500</v>
      </c>
      <c r="H42" s="153">
        <f>'Main Acc'!AU142</f>
        <v>1320.62</v>
      </c>
      <c r="I42" s="153">
        <f>H42/$AB$5*12</f>
        <v>1440.6763636363635</v>
      </c>
      <c r="J42" s="146"/>
      <c r="K42" s="153">
        <v>1500</v>
      </c>
    </row>
    <row r="43" spans="1:11">
      <c r="A43" s="5"/>
      <c r="B43" s="3"/>
      <c r="C43" s="157">
        <f>SUM(C41:C42)</f>
        <v>15000</v>
      </c>
      <c r="D43" s="157">
        <f t="shared" ref="D43:I43" si="11">SUM(D41:D42)</f>
        <v>480</v>
      </c>
      <c r="E43" s="157">
        <f t="shared" si="11"/>
        <v>14520</v>
      </c>
      <c r="F43" s="150"/>
      <c r="G43" s="157">
        <f t="shared" si="11"/>
        <v>1500</v>
      </c>
      <c r="H43" s="157">
        <f t="shared" si="11"/>
        <v>1320.62</v>
      </c>
      <c r="I43" s="157">
        <f t="shared" si="11"/>
        <v>1440.6763636363635</v>
      </c>
      <c r="J43" s="146"/>
      <c r="K43" s="153">
        <v>1500</v>
      </c>
    </row>
    <row r="44" spans="1:11">
      <c r="A44" s="60" t="s">
        <v>61</v>
      </c>
      <c r="B44" s="3"/>
      <c r="C44" s="156"/>
      <c r="D44" s="153"/>
      <c r="E44" s="153"/>
      <c r="F44" s="150"/>
      <c r="G44" s="153"/>
      <c r="H44" s="153"/>
      <c r="I44" s="138"/>
      <c r="K44" s="132"/>
    </row>
    <row r="45" spans="1:11">
      <c r="A45" s="5"/>
      <c r="B45" s="3" t="str">
        <f>'Main Acc'!BD3</f>
        <v>Neighbourhood Planning</v>
      </c>
      <c r="C45" s="156">
        <f>+'[1]Year end spend v budget'!C23</f>
        <v>1020</v>
      </c>
      <c r="D45" s="153">
        <f>+'[1]Year end spend v budget'!B23</f>
        <v>388.56</v>
      </c>
      <c r="E45" s="153">
        <f>+C45-D45</f>
        <v>631.44000000000005</v>
      </c>
      <c r="F45" s="150"/>
      <c r="G45" s="153">
        <f>+[2]Sheet1!$F$19</f>
        <v>5000</v>
      </c>
      <c r="H45" s="153">
        <f>'Main Acc'!BD142</f>
        <v>0</v>
      </c>
      <c r="I45" s="153">
        <f>+H45/12*12</f>
        <v>0</v>
      </c>
      <c r="J45" s="146"/>
      <c r="K45" s="153">
        <v>500</v>
      </c>
    </row>
    <row r="46" spans="1:11">
      <c r="A46" s="5"/>
      <c r="B46" s="3"/>
      <c r="C46" s="157">
        <f>SUM(C44:C45)</f>
        <v>1020</v>
      </c>
      <c r="D46" s="157">
        <f t="shared" ref="D46:I46" si="12">SUM(D44:D45)</f>
        <v>388.56</v>
      </c>
      <c r="E46" s="157">
        <f t="shared" si="12"/>
        <v>631.44000000000005</v>
      </c>
      <c r="F46" s="150"/>
      <c r="G46" s="157">
        <f t="shared" si="12"/>
        <v>5000</v>
      </c>
      <c r="H46" s="157">
        <f t="shared" si="12"/>
        <v>0</v>
      </c>
      <c r="I46" s="157">
        <f t="shared" si="12"/>
        <v>0</v>
      </c>
      <c r="J46" s="146"/>
      <c r="K46" s="153">
        <v>500</v>
      </c>
    </row>
    <row r="47" spans="1:11">
      <c r="A47" s="60" t="s">
        <v>394</v>
      </c>
      <c r="B47" s="3"/>
      <c r="C47" s="156"/>
      <c r="D47" s="153"/>
      <c r="E47" s="153"/>
      <c r="F47" s="150"/>
      <c r="G47" s="153"/>
      <c r="H47" s="153"/>
      <c r="I47" s="138"/>
      <c r="K47" s="132"/>
    </row>
    <row r="48" spans="1:11">
      <c r="A48" s="5"/>
      <c r="B48" s="3" t="s">
        <v>31</v>
      </c>
      <c r="C48" s="156">
        <f>+'[1]Year end spend v budget'!C17</f>
        <v>400</v>
      </c>
      <c r="D48" s="153">
        <f>+'[1]Year end spend v budget'!B17</f>
        <v>250</v>
      </c>
      <c r="E48" s="153">
        <f t="shared" si="0"/>
        <v>150</v>
      </c>
      <c r="F48" s="153"/>
      <c r="G48" s="153">
        <f>+[2]Sheet1!F23</f>
        <v>400</v>
      </c>
      <c r="H48" s="153">
        <f>'Main Acc'!AZ142</f>
        <v>0</v>
      </c>
      <c r="I48" s="153">
        <f t="shared" ref="I48:I49" si="13">H48/$AB$5*12</f>
        <v>0</v>
      </c>
      <c r="J48" s="146"/>
      <c r="K48" s="153">
        <v>400</v>
      </c>
    </row>
    <row r="49" spans="1:28">
      <c r="A49" s="5"/>
      <c r="B49" s="3" t="s">
        <v>387</v>
      </c>
      <c r="C49" s="156">
        <f>+'[1]Year end spend v budget'!C19</f>
        <v>0</v>
      </c>
      <c r="D49" s="153">
        <f>+'[1]Year end spend v budget'!B19</f>
        <v>0</v>
      </c>
      <c r="E49" s="153">
        <f t="shared" si="0"/>
        <v>0</v>
      </c>
      <c r="F49" s="158"/>
      <c r="G49" s="153">
        <v>0</v>
      </c>
      <c r="H49" s="153">
        <f>'Main Acc'!AV142</f>
        <v>3147.69</v>
      </c>
      <c r="I49" s="153">
        <f t="shared" si="13"/>
        <v>3433.8436363636365</v>
      </c>
      <c r="J49" s="146"/>
      <c r="K49" s="153">
        <v>400</v>
      </c>
    </row>
    <row r="50" spans="1:28">
      <c r="A50" s="5"/>
      <c r="B50" s="3"/>
      <c r="C50" s="157">
        <f>SUM(C48:C49)</f>
        <v>400</v>
      </c>
      <c r="D50" s="157">
        <f>SUM(D48:D49)</f>
        <v>250</v>
      </c>
      <c r="E50" s="157">
        <f>SUM(E48:E49)</f>
        <v>150</v>
      </c>
      <c r="F50" s="158"/>
      <c r="G50" s="157">
        <f>SUM(G48:G49)</f>
        <v>400</v>
      </c>
      <c r="H50" s="157">
        <f>SUM(H48:H49)</f>
        <v>3147.69</v>
      </c>
      <c r="I50" s="157">
        <f>SUM(I48:I49)</f>
        <v>3433.8436363636365</v>
      </c>
      <c r="J50" s="146"/>
      <c r="K50" s="153">
        <f>SUM(K48+K49)</f>
        <v>800</v>
      </c>
    </row>
    <row r="51" spans="1:28">
      <c r="A51" s="5"/>
      <c r="B51" s="3"/>
      <c r="C51" s="157"/>
      <c r="D51" s="157"/>
      <c r="E51" s="157"/>
      <c r="F51" s="158"/>
      <c r="G51" s="157"/>
      <c r="H51" s="153"/>
      <c r="I51" s="138"/>
      <c r="K51" s="132"/>
      <c r="T51" t="s">
        <v>547</v>
      </c>
    </row>
    <row r="52" spans="1:28">
      <c r="A52" s="5"/>
      <c r="B52" s="3" t="s">
        <v>57</v>
      </c>
      <c r="C52" s="157"/>
      <c r="D52" s="157"/>
      <c r="E52" s="157"/>
      <c r="F52" s="158"/>
      <c r="G52" s="157">
        <f>+[2]Sheet1!$F$24</f>
        <v>1000</v>
      </c>
      <c r="H52" s="153">
        <f>'Main Acc'!AY142</f>
        <v>0</v>
      </c>
      <c r="I52" s="153">
        <f>H52/$AB$5*12</f>
        <v>0</v>
      </c>
      <c r="J52" s="146"/>
      <c r="K52" s="153">
        <v>1000</v>
      </c>
    </row>
    <row r="53" spans="1:28" s="129" customFormat="1">
      <c r="A53" s="5"/>
      <c r="B53" s="3" t="s">
        <v>60</v>
      </c>
      <c r="C53" s="153"/>
      <c r="D53" s="153"/>
      <c r="E53" s="153"/>
      <c r="F53" s="153"/>
      <c r="G53" s="157">
        <v>100</v>
      </c>
      <c r="H53" s="153">
        <f>'Main Acc'!BC142</f>
        <v>25</v>
      </c>
      <c r="I53" s="153">
        <f>H53/$AB$5*12</f>
        <v>27.272727272727273</v>
      </c>
      <c r="J53" s="146"/>
      <c r="K53" s="153">
        <v>100</v>
      </c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</row>
    <row r="54" spans="1:28" s="129" customFormat="1">
      <c r="A54" s="5"/>
      <c r="B54" s="3"/>
      <c r="C54" s="153"/>
      <c r="D54" s="153"/>
      <c r="E54" s="153"/>
      <c r="F54" s="153"/>
      <c r="G54" s="157"/>
      <c r="H54" s="153"/>
      <c r="I54" s="153"/>
      <c r="J54" s="146"/>
      <c r="K54" s="153">
        <f>SUM(K52:K53)</f>
        <v>1100</v>
      </c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</row>
    <row r="55" spans="1:28" s="129" customFormat="1">
      <c r="A55" s="5"/>
      <c r="B55" s="3"/>
      <c r="C55" s="153"/>
      <c r="D55" s="153"/>
      <c r="E55" s="153"/>
      <c r="F55" s="153"/>
      <c r="G55" s="157"/>
      <c r="H55" s="153"/>
      <c r="I55" s="138"/>
      <c r="J55" s="137"/>
      <c r="K55" s="132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</row>
    <row r="56" spans="1:28" s="129" customFormat="1">
      <c r="A56" s="5"/>
      <c r="B56" s="60" t="s">
        <v>28</v>
      </c>
      <c r="C56" s="159">
        <f>+C11+C19+C22+C35+C40+C43+C46+C50</f>
        <v>40167.407999999996</v>
      </c>
      <c r="D56" s="159">
        <f>+D11+D19+D22+D35+D40+D43+D46+D50</f>
        <v>47591.229999999996</v>
      </c>
      <c r="E56" s="159">
        <f>+E11+E19+E22+E35+E40+E43+E46+E50</f>
        <v>-7423.8219999999983</v>
      </c>
      <c r="F56" s="153"/>
      <c r="G56" s="159">
        <f>+G11+G19+G22+G35+G40+G43+G46+G50+G52</f>
        <v>47542.51</v>
      </c>
      <c r="H56" s="159" t="e">
        <f>+H11+H19+H22+H35+H40+H43+H46+H50+H52+H53</f>
        <v>#REF!</v>
      </c>
      <c r="I56" s="159" t="e">
        <f>+I11+I19+I22+I35+I40+I43+I46+I50+I52</f>
        <v>#REF!</v>
      </c>
      <c r="J56" s="146"/>
      <c r="K56" s="153" t="e">
        <f>K54+K50+K46+K43+K40+K35+K22+K19+K11</f>
        <v>#REF!</v>
      </c>
      <c r="N56" s="180" t="s">
        <v>376</v>
      </c>
      <c r="O56" s="181" t="s">
        <v>548</v>
      </c>
      <c r="P56"/>
      <c r="Q56"/>
      <c r="R56"/>
      <c r="S56"/>
      <c r="T56"/>
      <c r="U56"/>
      <c r="V56"/>
      <c r="W56"/>
      <c r="X56"/>
      <c r="Y56"/>
      <c r="Z56"/>
      <c r="AA56"/>
      <c r="AB56"/>
    </row>
    <row r="57" spans="1:28" s="129" customFormat="1">
      <c r="A57"/>
      <c r="B57" s="11"/>
      <c r="C57" s="133"/>
      <c r="D57" s="132"/>
      <c r="E57" s="132"/>
      <c r="F57" s="138"/>
      <c r="G57" s="132"/>
      <c r="H57" s="132"/>
      <c r="I57" s="132"/>
      <c r="J57" s="137"/>
      <c r="K57" s="132"/>
      <c r="N57" s="179">
        <v>951</v>
      </c>
      <c r="O57" s="96">
        <f>47542+951</f>
        <v>48493</v>
      </c>
      <c r="P57"/>
      <c r="Q57"/>
      <c r="R57"/>
      <c r="S57"/>
      <c r="T57"/>
      <c r="U57"/>
      <c r="V57"/>
      <c r="W57"/>
      <c r="X57"/>
      <c r="Y57"/>
      <c r="Z57"/>
      <c r="AA57"/>
      <c r="AB57"/>
    </row>
    <row r="58" spans="1:28" s="129" customFormat="1">
      <c r="A58"/>
      <c r="B58" s="11"/>
      <c r="C58" s="133"/>
      <c r="D58" s="133"/>
      <c r="E58" s="133"/>
      <c r="F58" s="138"/>
      <c r="G58" s="136"/>
      <c r="H58" s="133"/>
      <c r="I58" s="133"/>
      <c r="J58" s="137"/>
      <c r="K58" s="133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</row>
    <row r="59" spans="1:28" s="129" customFormat="1">
      <c r="A59"/>
      <c r="B59" s="11"/>
      <c r="C59" s="131"/>
      <c r="F59" s="137"/>
      <c r="J59" s="137"/>
      <c r="L59" s="129">
        <f>47542.51-48416.05</f>
        <v>-873.54000000000087</v>
      </c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</row>
    <row r="60" spans="1:28" s="129" customFormat="1">
      <c r="A60"/>
      <c r="B60" s="11"/>
      <c r="C60" s="131"/>
      <c r="F60" s="137"/>
      <c r="J60" s="137"/>
      <c r="K60" s="133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</row>
    <row r="61" spans="1:28" s="129" customFormat="1">
      <c r="A61"/>
      <c r="B61" s="11"/>
      <c r="C61" s="131"/>
      <c r="F61" s="137"/>
      <c r="J61" s="137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</row>
    <row r="62" spans="1:28" s="129" customFormat="1">
      <c r="A62"/>
      <c r="B62" s="11"/>
      <c r="C62" s="131"/>
      <c r="F62" s="137"/>
      <c r="J62" s="137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</row>
    <row r="63" spans="1:28" s="129" customFormat="1">
      <c r="A63"/>
      <c r="B63" s="11"/>
      <c r="C63" s="131"/>
      <c r="F63" s="137"/>
      <c r="J63" s="137"/>
      <c r="L63" s="322"/>
      <c r="M63" s="32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</row>
    <row r="64" spans="1:28" s="129" customFormat="1">
      <c r="A64"/>
      <c r="B64" s="11"/>
      <c r="C64" s="131"/>
      <c r="F64" s="137"/>
      <c r="J64" s="137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</row>
    <row r="65" spans="1:28" s="129" customFormat="1">
      <c r="A65" s="121"/>
      <c r="B65" s="171"/>
      <c r="C65" s="172"/>
      <c r="D65" s="172"/>
      <c r="E65" s="172"/>
      <c r="F65" s="173"/>
      <c r="G65" s="172"/>
      <c r="H65" s="172"/>
      <c r="J65" s="137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</row>
    <row r="66" spans="1:28" s="129" customFormat="1" ht="15">
      <c r="A66" s="121"/>
      <c r="B66" s="174"/>
      <c r="C66" s="172"/>
      <c r="D66" s="172"/>
      <c r="E66" s="172"/>
      <c r="F66" s="173"/>
      <c r="G66" s="172"/>
      <c r="H66" s="172"/>
      <c r="J66" s="137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</row>
    <row r="67" spans="1:28" s="129" customFormat="1" ht="15">
      <c r="A67" s="121"/>
      <c r="B67" s="174"/>
      <c r="C67" s="172"/>
      <c r="D67" s="172"/>
      <c r="E67" s="172"/>
      <c r="F67" s="173"/>
      <c r="G67" s="172"/>
      <c r="H67" s="172"/>
      <c r="J67" s="13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</row>
    <row r="68" spans="1:28" s="129" customFormat="1" ht="15">
      <c r="A68" s="121"/>
      <c r="B68" s="174"/>
      <c r="C68" s="172"/>
      <c r="D68" s="172"/>
      <c r="E68" s="172"/>
      <c r="F68" s="173"/>
      <c r="G68" s="172"/>
      <c r="H68" s="172"/>
      <c r="J68" s="137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</row>
  </sheetData>
  <mergeCells count="4">
    <mergeCell ref="A2:B2"/>
    <mergeCell ref="C2:E2"/>
    <mergeCell ref="G2:I2"/>
    <mergeCell ref="L63:M63"/>
  </mergeCells>
  <pageMargins left="0.7" right="0.7" top="0.75" bottom="0.75" header="0.3" footer="0.3"/>
  <pageSetup paperSize="9" scale="46" orientation="landscape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CA81D-D71C-49E3-A8B6-81F55D735ADB}">
  <sheetPr>
    <pageSetUpPr fitToPage="1"/>
  </sheetPr>
  <dimension ref="A1:AD69"/>
  <sheetViews>
    <sheetView zoomScale="90" zoomScaleNormal="90" workbookViewId="0">
      <pane xSplit="2" ySplit="4" topLeftCell="F17" activePane="bottomRight" state="frozen"/>
      <selection pane="bottomRight" activeCell="R40" sqref="R40"/>
      <selection pane="bottomLeft" activeCell="A4" sqref="A4"/>
      <selection pane="topRight" activeCell="C1" sqref="C1"/>
    </sheetView>
  </sheetViews>
  <sheetFormatPr defaultRowHeight="12.75"/>
  <cols>
    <col min="1" max="1" width="18" bestFit="1" customWidth="1"/>
    <col min="2" max="2" width="27.5703125" style="11" customWidth="1"/>
    <col min="3" max="3" width="10.7109375" style="129" hidden="1" customWidth="1"/>
    <col min="4" max="4" width="9.85546875" style="129" hidden="1" customWidth="1"/>
    <col min="5" max="5" width="11.140625" style="129" hidden="1" customWidth="1"/>
    <col min="6" max="6" width="2" style="137" customWidth="1"/>
    <col min="7" max="7" width="14.5703125" style="129" customWidth="1"/>
    <col min="8" max="8" width="11.28515625" style="129" customWidth="1"/>
    <col min="9" max="9" width="12.28515625" style="129" customWidth="1"/>
    <col min="10" max="10" width="2.7109375" style="137" customWidth="1"/>
    <col min="11" max="11" width="11.140625" style="129" customWidth="1"/>
    <col min="12" max="12" width="11.28515625" style="129" customWidth="1"/>
    <col min="13" max="13" width="11.42578125" style="129" customWidth="1"/>
    <col min="14" max="14" width="11.28515625" style="129" customWidth="1"/>
    <col min="15" max="15" width="11.5703125" style="129" customWidth="1"/>
    <col min="16" max="16" width="9.7109375" customWidth="1"/>
    <col min="17" max="17" width="18.42578125" bestFit="1" customWidth="1"/>
    <col min="19" max="19" width="10.140625" bestFit="1" customWidth="1"/>
    <col min="20" max="20" width="9.5703125" bestFit="1" customWidth="1"/>
    <col min="29" max="29" width="14.7109375" customWidth="1"/>
  </cols>
  <sheetData>
    <row r="1" spans="1:30">
      <c r="A1" s="5"/>
      <c r="B1" s="3"/>
      <c r="C1" s="146"/>
      <c r="D1" s="146"/>
      <c r="E1" s="146"/>
      <c r="F1" s="146"/>
      <c r="G1" s="146"/>
      <c r="H1" s="146"/>
      <c r="I1" s="146"/>
    </row>
    <row r="2" spans="1:30">
      <c r="A2" s="320" t="s">
        <v>549</v>
      </c>
      <c r="B2" s="321"/>
      <c r="C2" s="316" t="s">
        <v>367</v>
      </c>
      <c r="D2" s="316"/>
      <c r="E2" s="316"/>
      <c r="F2" s="146"/>
      <c r="G2" s="316" t="s">
        <v>550</v>
      </c>
      <c r="H2" s="316"/>
      <c r="I2" s="316"/>
    </row>
    <row r="3" spans="1:30">
      <c r="A3" s="5"/>
      <c r="B3" s="3"/>
      <c r="C3" s="149"/>
      <c r="D3" s="149"/>
      <c r="E3" s="149"/>
      <c r="F3" s="146"/>
      <c r="G3" s="150"/>
      <c r="H3" s="146"/>
      <c r="I3" s="146"/>
    </row>
    <row r="4" spans="1:30">
      <c r="A4" s="5"/>
      <c r="B4" s="60" t="s">
        <v>25</v>
      </c>
      <c r="C4" s="149" t="s">
        <v>370</v>
      </c>
      <c r="D4" s="149" t="s">
        <v>371</v>
      </c>
      <c r="E4" s="149" t="s">
        <v>372</v>
      </c>
      <c r="F4" s="146"/>
      <c r="G4" s="149" t="s">
        <v>370</v>
      </c>
      <c r="H4" s="149" t="s">
        <v>371</v>
      </c>
      <c r="I4" s="149" t="s">
        <v>542</v>
      </c>
      <c r="K4" s="129">
        <v>0.02</v>
      </c>
      <c r="L4" s="130" t="s">
        <v>370</v>
      </c>
      <c r="M4" s="131"/>
      <c r="O4" s="131" t="s">
        <v>374</v>
      </c>
    </row>
    <row r="5" spans="1:30">
      <c r="A5" s="5"/>
      <c r="B5" s="3"/>
      <c r="C5" s="152"/>
      <c r="D5" s="153"/>
      <c r="E5" s="153"/>
      <c r="F5" s="146"/>
      <c r="G5" s="146"/>
      <c r="H5" s="146"/>
      <c r="I5" s="146"/>
      <c r="AC5" t="s">
        <v>543</v>
      </c>
      <c r="AD5">
        <v>5</v>
      </c>
    </row>
    <row r="6" spans="1:30">
      <c r="A6" s="60" t="s">
        <v>375</v>
      </c>
      <c r="B6" s="3"/>
      <c r="C6" s="154"/>
      <c r="D6" s="155"/>
      <c r="E6" s="155"/>
      <c r="F6" s="146"/>
      <c r="G6" s="150"/>
      <c r="H6" s="146"/>
      <c r="I6" s="146"/>
    </row>
    <row r="7" spans="1:30">
      <c r="A7" s="5"/>
      <c r="B7" s="128" t="s">
        <v>36</v>
      </c>
      <c r="C7" s="156">
        <f>+'[1]Year end spend v budget'!C2</f>
        <v>3825.4079999999999</v>
      </c>
      <c r="D7" s="153">
        <f>+'[1]Year end spend v budget'!B2</f>
        <v>5174.3499999999995</v>
      </c>
      <c r="E7" s="153">
        <f>+C7-D7</f>
        <v>-1348.9419999999996</v>
      </c>
      <c r="F7" s="150"/>
      <c r="G7" s="153">
        <v>6100</v>
      </c>
      <c r="H7" s="146">
        <f>'Main Acc'!AD142</f>
        <v>5105.4500000000007</v>
      </c>
      <c r="I7" s="153">
        <f>530.4*5+516.1*6+616.2</f>
        <v>6364.8</v>
      </c>
      <c r="K7" s="129">
        <f>I7/100*2</f>
        <v>127.29600000000001</v>
      </c>
      <c r="L7" s="132">
        <f>I7+K7</f>
        <v>6492.0960000000005</v>
      </c>
      <c r="O7" s="131" t="s">
        <v>376</v>
      </c>
    </row>
    <row r="8" spans="1:30">
      <c r="A8" s="5"/>
      <c r="B8" s="3" t="s">
        <v>39</v>
      </c>
      <c r="C8" s="156"/>
      <c r="D8" s="153"/>
      <c r="E8" s="153"/>
      <c r="F8" s="146"/>
      <c r="G8" s="153">
        <v>125</v>
      </c>
      <c r="H8" s="153">
        <f>'Main Acc'!AG142</f>
        <v>156</v>
      </c>
      <c r="I8" s="153">
        <f>H8</f>
        <v>156</v>
      </c>
      <c r="K8" s="129">
        <f t="shared" ref="K8" si="0">I8/100*2</f>
        <v>3.12</v>
      </c>
      <c r="L8" s="132">
        <f t="shared" ref="L8" si="1">I8+K8</f>
        <v>159.12</v>
      </c>
      <c r="O8" s="131"/>
    </row>
    <row r="9" spans="1:30">
      <c r="A9" s="5"/>
      <c r="B9" s="3" t="str">
        <f>'Main Acc'!AH3</f>
        <v>Clerks Expenses/Purchases on PC's behalf</v>
      </c>
      <c r="C9" s="156">
        <f>+'[1]Year end spend v budget'!C4</f>
        <v>879</v>
      </c>
      <c r="D9" s="153">
        <f>+'[1]Year end spend v budget'!B4</f>
        <v>1750.82</v>
      </c>
      <c r="E9" s="153">
        <f t="shared" ref="E9:E52" si="2">+C9-D9</f>
        <v>-871.81999999999994</v>
      </c>
      <c r="F9" s="150"/>
      <c r="G9" s="153">
        <v>837.93</v>
      </c>
      <c r="H9" s="153">
        <f>'Main Acc'!AH142</f>
        <v>1317.73</v>
      </c>
      <c r="I9" s="153">
        <v>1000</v>
      </c>
      <c r="L9" s="132">
        <v>1000</v>
      </c>
      <c r="O9" s="131" t="s">
        <v>376</v>
      </c>
    </row>
    <row r="10" spans="1:30">
      <c r="A10" s="5"/>
      <c r="B10" s="3"/>
      <c r="C10" s="157">
        <f>SUM(C7:C9)</f>
        <v>4704.4079999999994</v>
      </c>
      <c r="D10" s="157">
        <f>SUM(D7:D9)</f>
        <v>6925.1699999999992</v>
      </c>
      <c r="E10" s="157">
        <f>SUM(E7:E9)</f>
        <v>-2220.7619999999997</v>
      </c>
      <c r="F10" s="150"/>
      <c r="G10" s="157">
        <f>SUM(G7:G9)</f>
        <v>7062.93</v>
      </c>
      <c r="H10" s="157">
        <f>SUM(H7:H9)</f>
        <v>6579.18</v>
      </c>
      <c r="I10" s="157">
        <f>SUM(I7:I9)</f>
        <v>7520.8</v>
      </c>
      <c r="L10" s="134">
        <f>SUM(L7:L9)</f>
        <v>7651.2160000000003</v>
      </c>
    </row>
    <row r="11" spans="1:30">
      <c r="A11" s="60" t="s">
        <v>377</v>
      </c>
      <c r="B11" s="3"/>
      <c r="C11" s="156"/>
      <c r="D11" s="153"/>
      <c r="E11" s="153"/>
      <c r="F11" s="150"/>
      <c r="G11" s="153"/>
      <c r="H11" s="153"/>
      <c r="I11" s="153"/>
      <c r="L11" s="132"/>
    </row>
    <row r="12" spans="1:30">
      <c r="A12" s="5"/>
      <c r="B12" s="3" t="str">
        <f>'Main Acc'!AI3</f>
        <v xml:space="preserve">Insurance </v>
      </c>
      <c r="C12" s="156">
        <f>+'[1]Year end spend v budget'!C5</f>
        <v>1010</v>
      </c>
      <c r="D12" s="153">
        <f>+'[1]Year end spend v budget'!B5</f>
        <v>1016.51</v>
      </c>
      <c r="E12" s="153">
        <f t="shared" si="2"/>
        <v>-6.5099999999999909</v>
      </c>
      <c r="F12" s="146"/>
      <c r="G12" s="153">
        <v>1250</v>
      </c>
      <c r="H12" s="153">
        <f>'Main Acc'!AI142</f>
        <v>2044.56</v>
      </c>
      <c r="I12" s="153">
        <f>H12</f>
        <v>2044.56</v>
      </c>
      <c r="K12" s="129">
        <f>I12/100*2</f>
        <v>40.891199999999998</v>
      </c>
      <c r="L12" s="132">
        <f>I12+K12</f>
        <v>2085.4512</v>
      </c>
      <c r="O12" s="131" t="s">
        <v>551</v>
      </c>
    </row>
    <row r="13" spans="1:30">
      <c r="A13" s="5"/>
      <c r="B13" s="3" t="str">
        <f>'Main Acc'!AJ3</f>
        <v>Audit Fees internal</v>
      </c>
      <c r="C13" s="156">
        <f>+'[1]Year end spend v budget'!C6</f>
        <v>128</v>
      </c>
      <c r="D13" s="153">
        <f>+'[1]Year end spend v budget'!B6</f>
        <v>135</v>
      </c>
      <c r="E13" s="153">
        <f t="shared" si="2"/>
        <v>-7</v>
      </c>
      <c r="F13" s="146"/>
      <c r="G13" s="153">
        <v>130</v>
      </c>
      <c r="H13" s="153">
        <v>130</v>
      </c>
      <c r="I13" s="153">
        <f>H13</f>
        <v>130</v>
      </c>
      <c r="K13" s="129">
        <f t="shared" ref="K13:K14" si="3">I13/100*2</f>
        <v>2.6</v>
      </c>
      <c r="L13" s="132">
        <f t="shared" ref="L13:L17" si="4">I13+K13</f>
        <v>132.6</v>
      </c>
      <c r="O13" s="131" t="s">
        <v>376</v>
      </c>
    </row>
    <row r="14" spans="1:30">
      <c r="A14" s="5"/>
      <c r="B14" s="3" t="s">
        <v>380</v>
      </c>
      <c r="C14" s="156">
        <f>+'[1]Year end spend v budget'!C7</f>
        <v>240</v>
      </c>
      <c r="D14" s="153">
        <f>+'[1]Year end spend v budget'!B7</f>
        <v>240</v>
      </c>
      <c r="E14" s="153">
        <f t="shared" si="2"/>
        <v>0</v>
      </c>
      <c r="F14" s="146"/>
      <c r="G14" s="153">
        <v>250</v>
      </c>
      <c r="H14" s="153">
        <f>+'Main Acc'!V142</f>
        <v>0</v>
      </c>
      <c r="I14" s="153">
        <f>H14</f>
        <v>0</v>
      </c>
      <c r="K14" s="129">
        <f t="shared" si="3"/>
        <v>0</v>
      </c>
      <c r="L14" s="132">
        <f t="shared" si="4"/>
        <v>0</v>
      </c>
      <c r="O14" s="131" t="s">
        <v>376</v>
      </c>
    </row>
    <row r="15" spans="1:30">
      <c r="A15" s="5"/>
      <c r="B15" s="3" t="str">
        <f>'Main Acc'!AW3</f>
        <v>PWLB 491409</v>
      </c>
      <c r="C15" s="156">
        <f>+'[1]Year end spend v budget'!C20</f>
        <v>1540</v>
      </c>
      <c r="D15" s="153">
        <f>+'[1]Year end spend v budget'!B20</f>
        <v>1541.82</v>
      </c>
      <c r="E15" s="153">
        <f>+C15-D15</f>
        <v>-1.8199999999999363</v>
      </c>
      <c r="F15" s="146"/>
      <c r="G15" s="153">
        <v>2643.12</v>
      </c>
      <c r="H15" s="153">
        <f>'Main Acc'!AW142</f>
        <v>1167.1400000000001</v>
      </c>
      <c r="I15" s="153">
        <f>G15</f>
        <v>2643.12</v>
      </c>
      <c r="L15" s="132">
        <f t="shared" si="4"/>
        <v>2643.12</v>
      </c>
      <c r="O15" s="131" t="s">
        <v>381</v>
      </c>
    </row>
    <row r="16" spans="1:30">
      <c r="A16" s="5"/>
      <c r="B16" s="3" t="e">
        <f>'Main Acc'!#REF!</f>
        <v>#REF!</v>
      </c>
      <c r="C16" s="156">
        <f>+'[1]Year end spend v budget'!C21</f>
        <v>2334</v>
      </c>
      <c r="D16" s="153">
        <f>+'[1]Year end spend v budget'!B21</f>
        <v>2334.2800000000002</v>
      </c>
      <c r="E16" s="153">
        <f>+C16-D16</f>
        <v>-0.28000000000020009</v>
      </c>
      <c r="F16" s="150"/>
      <c r="G16" s="153">
        <v>2000.81</v>
      </c>
      <c r="H16" s="153" t="e">
        <f>'Main Acc'!#REF!</f>
        <v>#REF!</v>
      </c>
      <c r="I16" s="153">
        <f>G16</f>
        <v>2000.81</v>
      </c>
      <c r="L16" s="132">
        <f t="shared" si="4"/>
        <v>2000.81</v>
      </c>
      <c r="O16" s="131" t="s">
        <v>381</v>
      </c>
    </row>
    <row r="17" spans="1:16">
      <c r="A17" s="5"/>
      <c r="B17" s="3" t="str">
        <f>'Main Acc'!AX3</f>
        <v>PWLB  482031</v>
      </c>
      <c r="C17" s="156">
        <f>+'[1]Year end spend v budget'!C22</f>
        <v>1662</v>
      </c>
      <c r="D17" s="153">
        <f>+'[1]Year end spend v budget'!B22</f>
        <v>1663.3</v>
      </c>
      <c r="E17" s="153">
        <f>+C17-D17</f>
        <v>-1.2999999999999545</v>
      </c>
      <c r="F17" s="146"/>
      <c r="G17" s="153">
        <v>2851.37</v>
      </c>
      <c r="H17" s="153">
        <f>'Main Acc'!AX142</f>
        <v>1541.99</v>
      </c>
      <c r="I17" s="153">
        <f>G17</f>
        <v>2851.37</v>
      </c>
      <c r="L17" s="132">
        <f t="shared" si="4"/>
        <v>2851.37</v>
      </c>
      <c r="O17" s="131" t="s">
        <v>381</v>
      </c>
    </row>
    <row r="18" spans="1:16">
      <c r="A18" s="5"/>
      <c r="B18" s="3"/>
      <c r="C18" s="157">
        <f>SUM(C12:C17)</f>
        <v>6914</v>
      </c>
      <c r="D18" s="157">
        <f>SUM(D12:D17)</f>
        <v>6930.9100000000008</v>
      </c>
      <c r="E18" s="157">
        <f>SUM(E12:E17)</f>
        <v>-16.910000000000082</v>
      </c>
      <c r="F18" s="150"/>
      <c r="G18" s="157">
        <f>SUM(G12:G17)</f>
        <v>9125.2999999999993</v>
      </c>
      <c r="H18" s="157" t="e">
        <f>SUM(H12:H17)</f>
        <v>#REF!</v>
      </c>
      <c r="I18" s="157">
        <f>SUM(I12:I17)</f>
        <v>9669.86</v>
      </c>
      <c r="L18" s="134">
        <f>SUM(L12:L17)</f>
        <v>9713.351200000001</v>
      </c>
    </row>
    <row r="19" spans="1:16">
      <c r="A19" s="60" t="s">
        <v>382</v>
      </c>
      <c r="B19" s="60"/>
      <c r="C19" s="156"/>
      <c r="D19" s="153"/>
      <c r="E19" s="153"/>
      <c r="F19" s="146"/>
      <c r="G19" s="153"/>
      <c r="H19" s="153"/>
      <c r="I19" s="153"/>
      <c r="L19" s="132"/>
    </row>
    <row r="20" spans="1:16">
      <c r="A20" s="5"/>
      <c r="B20" s="3" t="str">
        <f>'Main Acc'!AL3</f>
        <v>Membership and Training</v>
      </c>
      <c r="C20" s="156">
        <f>+'[1]Year end spend v budget'!C8</f>
        <v>664</v>
      </c>
      <c r="D20" s="153">
        <f>+'[1]Year end spend v budget'!B8</f>
        <v>988.49</v>
      </c>
      <c r="E20" s="153">
        <f t="shared" si="2"/>
        <v>-324.49</v>
      </c>
      <c r="F20" s="146"/>
      <c r="G20" s="153">
        <v>800</v>
      </c>
      <c r="H20" s="153">
        <f>+'Main Acc'!W142</f>
        <v>0</v>
      </c>
      <c r="I20" s="153">
        <f t="shared" ref="I20" si="5">H20/$AD$5*12</f>
        <v>0</v>
      </c>
      <c r="K20" s="129">
        <f>G20/100*2</f>
        <v>16</v>
      </c>
      <c r="L20" s="132">
        <f>800+K20</f>
        <v>816</v>
      </c>
      <c r="O20" s="131" t="s">
        <v>552</v>
      </c>
    </row>
    <row r="21" spans="1:16">
      <c r="A21" s="5"/>
      <c r="B21" s="3"/>
      <c r="C21" s="157">
        <f>SUM(C19:C20)</f>
        <v>664</v>
      </c>
      <c r="D21" s="157">
        <f>SUM(D19:D20)</f>
        <v>988.49</v>
      </c>
      <c r="E21" s="157">
        <f>SUM(E19:E20)</f>
        <v>-324.49</v>
      </c>
      <c r="F21" s="146"/>
      <c r="G21" s="157">
        <f>SUM(G19:G20)</f>
        <v>800</v>
      </c>
      <c r="H21" s="157">
        <f>SUM(H19:H20)</f>
        <v>0</v>
      </c>
      <c r="I21" s="157">
        <f>SUM(I19:I20)</f>
        <v>0</v>
      </c>
      <c r="L21" s="134">
        <f>SUM(L20)</f>
        <v>816</v>
      </c>
    </row>
    <row r="22" spans="1:16">
      <c r="A22" s="60" t="s">
        <v>385</v>
      </c>
      <c r="B22" s="3"/>
      <c r="C22" s="156"/>
      <c r="D22" s="153"/>
      <c r="E22" s="153"/>
      <c r="F22" s="146"/>
      <c r="G22" s="153"/>
      <c r="H22" s="153"/>
      <c r="I22" s="153"/>
      <c r="L22" s="132"/>
    </row>
    <row r="23" spans="1:16">
      <c r="A23" s="5"/>
      <c r="B23" s="3" t="str">
        <f>'Main Acc'!AM3</f>
        <v>Caretaker</v>
      </c>
      <c r="C23" s="156">
        <f>+'[1]Year end spend v budget'!C9</f>
        <v>2652</v>
      </c>
      <c r="D23" s="153">
        <f>+'[1]Year end spend v budget'!B9</f>
        <v>2844</v>
      </c>
      <c r="E23" s="153">
        <f t="shared" si="2"/>
        <v>-192</v>
      </c>
      <c r="F23" s="150"/>
      <c r="G23" s="153">
        <v>3000</v>
      </c>
      <c r="H23" s="153">
        <f>'Main Acc'!AM142</f>
        <v>2522.2800000000002</v>
      </c>
      <c r="I23" s="153">
        <v>3000</v>
      </c>
      <c r="K23" s="129">
        <f>I23/100*2</f>
        <v>60</v>
      </c>
      <c r="L23" s="132">
        <f>I23+K23+200</f>
        <v>3260</v>
      </c>
      <c r="O23" s="131" t="s">
        <v>553</v>
      </c>
    </row>
    <row r="24" spans="1:16">
      <c r="A24" s="5"/>
      <c r="B24" s="3" t="str">
        <f>'Main Acc'!AN3</f>
        <v>Equipment purchase</v>
      </c>
      <c r="C24" s="156">
        <f>+'[1]Year end spend v budget'!C10</f>
        <v>78</v>
      </c>
      <c r="D24" s="153">
        <f>+'[1]Year end spend v budget'!B10</f>
        <v>78.790000000000006</v>
      </c>
      <c r="E24" s="153">
        <f t="shared" si="2"/>
        <v>-0.79000000000000625</v>
      </c>
      <c r="F24" s="150"/>
      <c r="G24" s="153">
        <v>500</v>
      </c>
      <c r="H24" s="153">
        <f>+'Main Acc'!Y142</f>
        <v>0</v>
      </c>
      <c r="I24" s="153">
        <f t="shared" ref="I24:I33" si="6">H24/$AD$5*12</f>
        <v>0</v>
      </c>
      <c r="L24" s="132">
        <v>500</v>
      </c>
      <c r="O24" s="131" t="s">
        <v>552</v>
      </c>
      <c r="P24" s="131"/>
    </row>
    <row r="25" spans="1:16">
      <c r="A25" s="5"/>
      <c r="B25" s="3" t="str">
        <f>'Main Acc'!AT3</f>
        <v>Pavilion Maintenance</v>
      </c>
      <c r="C25" s="156">
        <f>+'[1]Year end spend v budget'!C15</f>
        <v>1071</v>
      </c>
      <c r="D25" s="153">
        <f>+'[1]Year end spend v budget'!B15</f>
        <v>1900.08</v>
      </c>
      <c r="E25" s="153">
        <f>+C25-D25</f>
        <v>-829.07999999999993</v>
      </c>
      <c r="F25" s="146"/>
      <c r="G25" s="153">
        <v>1048.46</v>
      </c>
      <c r="H25" s="153">
        <f>'Main Acc'!AT142</f>
        <v>1228.8</v>
      </c>
      <c r="I25" s="153">
        <f t="shared" si="6"/>
        <v>2949.12</v>
      </c>
      <c r="K25" s="129">
        <f>I25/100*2</f>
        <v>58.982399999999998</v>
      </c>
      <c r="L25" s="132">
        <f>I25+K25</f>
        <v>3008.1023999999998</v>
      </c>
      <c r="O25" s="131" t="s">
        <v>552</v>
      </c>
      <c r="P25" s="131"/>
    </row>
    <row r="26" spans="1:16">
      <c r="A26" s="5"/>
      <c r="B26" s="3" t="s">
        <v>59</v>
      </c>
      <c r="C26" s="156">
        <f>+'[1]Year end spend v budget'!C16</f>
        <v>1500</v>
      </c>
      <c r="D26" s="153">
        <f>+'[1]Year end spend v budget'!B16</f>
        <v>486.62</v>
      </c>
      <c r="E26" s="153">
        <f>+C26-D26</f>
        <v>1013.38</v>
      </c>
      <c r="F26" s="150"/>
      <c r="G26" s="153">
        <v>2000</v>
      </c>
      <c r="H26" s="153">
        <f>'Main Acc'!BA142</f>
        <v>2013.9700000000003</v>
      </c>
      <c r="I26" s="153">
        <f t="shared" si="6"/>
        <v>4833.5280000000002</v>
      </c>
      <c r="K26" s="129">
        <f t="shared" ref="K26:K29" si="7">I26/100*2</f>
        <v>96.670560000000009</v>
      </c>
      <c r="L26" s="132">
        <f t="shared" ref="L26:L29" si="8">I26+K26</f>
        <v>4930.1985599999998</v>
      </c>
      <c r="O26" s="131" t="s">
        <v>552</v>
      </c>
      <c r="P26" s="131"/>
    </row>
    <row r="27" spans="1:16">
      <c r="A27" s="5"/>
      <c r="B27" s="3" t="str">
        <f>'Main Acc'!AO3</f>
        <v>Recreation Maintenance</v>
      </c>
      <c r="C27" s="156">
        <f>+'[1]Year end spend v budget'!C11</f>
        <v>1836</v>
      </c>
      <c r="D27" s="153">
        <f>+'[1]Year end spend v budget'!B11</f>
        <v>23252.949999999997</v>
      </c>
      <c r="E27" s="153">
        <f t="shared" si="2"/>
        <v>-21416.949999999997</v>
      </c>
      <c r="F27" s="150"/>
      <c r="G27" s="153">
        <v>10000</v>
      </c>
      <c r="H27" s="153">
        <f>+'Main Acc'!Z142</f>
        <v>0</v>
      </c>
      <c r="I27" s="153">
        <f t="shared" si="6"/>
        <v>0</v>
      </c>
      <c r="K27" s="129">
        <f t="shared" si="7"/>
        <v>0</v>
      </c>
      <c r="L27" s="132">
        <v>5000</v>
      </c>
      <c r="O27" s="131" t="s">
        <v>552</v>
      </c>
      <c r="P27" s="131"/>
    </row>
    <row r="28" spans="1:16">
      <c r="A28" s="5"/>
      <c r="B28" s="3" t="str">
        <f>'Main Acc'!AP3</f>
        <v>Playground Maintenance</v>
      </c>
      <c r="C28" s="156">
        <f>+'[1]Year end spend v budget'!C12</f>
        <v>1836</v>
      </c>
      <c r="D28" s="153">
        <f>+'[1]Year end spend v budget'!B12</f>
        <v>666</v>
      </c>
      <c r="E28" s="153">
        <f t="shared" si="2"/>
        <v>1170</v>
      </c>
      <c r="F28" s="146"/>
      <c r="G28" s="153">
        <v>5000</v>
      </c>
      <c r="H28" s="153">
        <f>+'Main Acc'!AA142</f>
        <v>0</v>
      </c>
      <c r="I28" s="153">
        <f t="shared" si="6"/>
        <v>0</v>
      </c>
      <c r="K28" s="129">
        <f t="shared" si="7"/>
        <v>0</v>
      </c>
      <c r="L28" s="132">
        <v>3000</v>
      </c>
      <c r="O28" s="131" t="s">
        <v>552</v>
      </c>
    </row>
    <row r="29" spans="1:16">
      <c r="A29" s="5"/>
      <c r="B29" s="3" t="s">
        <v>387</v>
      </c>
      <c r="C29" s="156"/>
      <c r="D29" s="153"/>
      <c r="E29" s="153"/>
      <c r="F29" s="146"/>
      <c r="G29" s="153">
        <v>1500</v>
      </c>
      <c r="H29" s="153">
        <f>'Main Acc'!AV142</f>
        <v>3147.69</v>
      </c>
      <c r="I29" s="153">
        <f t="shared" si="6"/>
        <v>7554.4560000000001</v>
      </c>
      <c r="K29" s="129">
        <f t="shared" si="7"/>
        <v>151.08912000000001</v>
      </c>
      <c r="L29" s="132">
        <f t="shared" si="8"/>
        <v>7705.5451199999998</v>
      </c>
      <c r="O29" s="131" t="s">
        <v>552</v>
      </c>
    </row>
    <row r="30" spans="1:16">
      <c r="A30" s="5"/>
      <c r="B30" s="3" t="s">
        <v>389</v>
      </c>
      <c r="C30" s="156"/>
      <c r="D30" s="153"/>
      <c r="E30" s="153"/>
      <c r="F30" s="146"/>
      <c r="G30" s="153">
        <v>125</v>
      </c>
      <c r="H30" s="153">
        <f>+'Main Acc'!AA144</f>
        <v>0</v>
      </c>
      <c r="I30" s="153">
        <f t="shared" si="6"/>
        <v>0</v>
      </c>
      <c r="L30" s="132">
        <f>G30</f>
        <v>125</v>
      </c>
      <c r="O30" s="131" t="s">
        <v>554</v>
      </c>
    </row>
    <row r="31" spans="1:16">
      <c r="A31" s="5"/>
      <c r="B31" s="5" t="s">
        <v>544</v>
      </c>
      <c r="C31" s="156"/>
      <c r="D31" s="153"/>
      <c r="E31" s="153"/>
      <c r="F31" s="146"/>
      <c r="G31" s="153">
        <v>250</v>
      </c>
      <c r="H31" s="153">
        <v>0</v>
      </c>
      <c r="I31" s="153">
        <f t="shared" si="6"/>
        <v>0</v>
      </c>
      <c r="L31" s="132">
        <f>G31</f>
        <v>250</v>
      </c>
      <c r="O31" s="131" t="s">
        <v>554</v>
      </c>
    </row>
    <row r="32" spans="1:16">
      <c r="A32" s="5"/>
      <c r="B32" s="5" t="s">
        <v>545</v>
      </c>
      <c r="C32" s="156"/>
      <c r="D32" s="153"/>
      <c r="E32" s="153"/>
      <c r="F32" s="146"/>
      <c r="G32" s="153">
        <v>500</v>
      </c>
      <c r="H32" s="153">
        <v>0</v>
      </c>
      <c r="I32" s="153">
        <f t="shared" si="6"/>
        <v>0</v>
      </c>
      <c r="L32" s="132">
        <f>G32</f>
        <v>500</v>
      </c>
      <c r="O32" s="131" t="s">
        <v>554</v>
      </c>
    </row>
    <row r="33" spans="1:15">
      <c r="A33" s="5"/>
      <c r="B33" s="5" t="s">
        <v>546</v>
      </c>
      <c r="C33" s="156"/>
      <c r="D33" s="153"/>
      <c r="E33" s="153"/>
      <c r="F33" s="146"/>
      <c r="G33" s="153">
        <v>500</v>
      </c>
      <c r="H33" s="153">
        <f>'Main Acc'!AQ142</f>
        <v>0</v>
      </c>
      <c r="I33" s="153">
        <f t="shared" si="6"/>
        <v>0</v>
      </c>
      <c r="L33" s="132">
        <f>G33</f>
        <v>500</v>
      </c>
      <c r="O33" s="131" t="s">
        <v>554</v>
      </c>
    </row>
    <row r="34" spans="1:15">
      <c r="A34" s="5"/>
      <c r="B34" s="3"/>
      <c r="C34" s="157">
        <f>SUM(C23:C28)</f>
        <v>8973</v>
      </c>
      <c r="D34" s="157">
        <f>SUM(D23:D28)</f>
        <v>29228.439999999995</v>
      </c>
      <c r="E34" s="157">
        <f>SUM(E23:E28)</f>
        <v>-20255.439999999999</v>
      </c>
      <c r="F34" s="146"/>
      <c r="G34" s="157">
        <f>SUM(G23:G33)</f>
        <v>24423.46</v>
      </c>
      <c r="H34" s="157">
        <f>SUM(H23:H33)</f>
        <v>8912.74</v>
      </c>
      <c r="I34" s="157">
        <f>SUM(I23:I30)</f>
        <v>18337.103999999999</v>
      </c>
      <c r="L34" s="134">
        <f>SUM(L23:L33)</f>
        <v>28778.846079999999</v>
      </c>
    </row>
    <row r="35" spans="1:15">
      <c r="A35" s="60" t="s">
        <v>391</v>
      </c>
      <c r="B35" s="3"/>
      <c r="C35" s="156"/>
      <c r="D35" s="153"/>
      <c r="E35" s="153"/>
      <c r="F35" s="146"/>
      <c r="G35" s="146"/>
      <c r="H35" s="153"/>
      <c r="I35" s="153"/>
      <c r="L35" s="132"/>
    </row>
    <row r="36" spans="1:15">
      <c r="A36" s="5"/>
      <c r="B36" s="3" t="str">
        <f>'Main Acc'!AR3</f>
        <v>Barcombe Mills Rates</v>
      </c>
      <c r="C36" s="156">
        <f>+'[1]Year end spend v budget'!C13</f>
        <v>280</v>
      </c>
      <c r="D36" s="153">
        <f>+'[1]Year end spend v budget'!B13</f>
        <v>0</v>
      </c>
      <c r="E36" s="153">
        <f t="shared" si="2"/>
        <v>280</v>
      </c>
      <c r="F36" s="150"/>
      <c r="G36" s="153">
        <v>350</v>
      </c>
      <c r="H36" s="153">
        <f>+'Main Acc'!AB142</f>
        <v>-100</v>
      </c>
      <c r="I36" s="153">
        <f>H36</f>
        <v>-100</v>
      </c>
      <c r="K36" s="129">
        <f>I36/100*2</f>
        <v>-2</v>
      </c>
      <c r="L36" s="132">
        <f>I36+K36</f>
        <v>-102</v>
      </c>
      <c r="O36" s="131" t="s">
        <v>376</v>
      </c>
    </row>
    <row r="37" spans="1:15">
      <c r="A37" s="5"/>
      <c r="B37" s="3" t="s">
        <v>51</v>
      </c>
      <c r="C37" s="156">
        <f>+'[1]Year end spend v budget'!C14</f>
        <v>1071</v>
      </c>
      <c r="D37" s="153">
        <f>+'[1]Year end spend v budget'!B14</f>
        <v>2182.4</v>
      </c>
      <c r="E37" s="153">
        <f t="shared" si="2"/>
        <v>-1111.4000000000001</v>
      </c>
      <c r="F37" s="150"/>
      <c r="G37" s="153">
        <v>1200</v>
      </c>
      <c r="H37" s="153">
        <f>'Main Acc'!AS142</f>
        <v>0</v>
      </c>
      <c r="I37" s="153">
        <f t="shared" ref="I37" si="9">H37/$AD$5*12</f>
        <v>0</v>
      </c>
      <c r="K37" s="129">
        <f>I37/100*2</f>
        <v>0</v>
      </c>
      <c r="L37" s="132">
        <f>I37+K37</f>
        <v>0</v>
      </c>
      <c r="O37" s="131" t="s">
        <v>376</v>
      </c>
    </row>
    <row r="38" spans="1:15">
      <c r="A38" s="5"/>
      <c r="B38" s="3"/>
      <c r="C38" s="157">
        <f>SUM(C36:C37)</f>
        <v>1351</v>
      </c>
      <c r="D38" s="157">
        <f t="shared" ref="D38:I38" si="10">SUM(D36:D37)</f>
        <v>2182.4</v>
      </c>
      <c r="E38" s="157">
        <f t="shared" si="10"/>
        <v>-831.40000000000009</v>
      </c>
      <c r="F38" s="150"/>
      <c r="G38" s="157">
        <f t="shared" si="10"/>
        <v>1550</v>
      </c>
      <c r="H38" s="157">
        <f t="shared" si="10"/>
        <v>-100</v>
      </c>
      <c r="I38" s="157">
        <f t="shared" si="10"/>
        <v>-100</v>
      </c>
      <c r="L38" s="134">
        <f>SUM(L36:L37)</f>
        <v>-102</v>
      </c>
    </row>
    <row r="39" spans="1:15">
      <c r="A39" s="60" t="s">
        <v>53</v>
      </c>
      <c r="B39" s="3"/>
      <c r="C39" s="156"/>
      <c r="D39" s="153"/>
      <c r="E39" s="153"/>
      <c r="F39" s="150"/>
      <c r="G39" s="153"/>
      <c r="H39" s="153"/>
      <c r="I39" s="153"/>
      <c r="L39" s="132"/>
    </row>
    <row r="40" spans="1:15">
      <c r="A40" s="5"/>
      <c r="B40" s="3" t="s">
        <v>53</v>
      </c>
      <c r="C40" s="156">
        <f>+'[1]Year end spend v budget'!C18</f>
        <v>15000</v>
      </c>
      <c r="D40" s="153">
        <f>+'[1]Year end spend v budget'!B18</f>
        <v>480</v>
      </c>
      <c r="E40" s="153">
        <f>+C40-D40</f>
        <v>14520</v>
      </c>
      <c r="F40" s="150"/>
      <c r="G40" s="153">
        <f>+[2]Sheet1!$F$21</f>
        <v>1500</v>
      </c>
      <c r="H40" s="153">
        <f>'Main Acc'!AU142</f>
        <v>1320.62</v>
      </c>
      <c r="I40" s="153">
        <f>H40/$AD$5*12</f>
        <v>3169.4879999999994</v>
      </c>
      <c r="K40" s="129">
        <f>G40/100*2</f>
        <v>30</v>
      </c>
      <c r="L40" s="132">
        <f>G40+K40</f>
        <v>1530</v>
      </c>
      <c r="O40" s="131"/>
    </row>
    <row r="41" spans="1:15">
      <c r="A41" s="5"/>
      <c r="B41" s="3"/>
      <c r="C41" s="157">
        <f>SUM(C39:C40)</f>
        <v>15000</v>
      </c>
      <c r="D41" s="157">
        <f t="shared" ref="D41:I41" si="11">SUM(D39:D40)</f>
        <v>480</v>
      </c>
      <c r="E41" s="157">
        <f t="shared" si="11"/>
        <v>14520</v>
      </c>
      <c r="F41" s="150"/>
      <c r="G41" s="157">
        <f t="shared" si="11"/>
        <v>1500</v>
      </c>
      <c r="H41" s="157">
        <f t="shared" si="11"/>
        <v>1320.62</v>
      </c>
      <c r="I41" s="157">
        <f t="shared" si="11"/>
        <v>3169.4879999999994</v>
      </c>
      <c r="L41" s="134">
        <f>L40</f>
        <v>1530</v>
      </c>
    </row>
    <row r="42" spans="1:15">
      <c r="A42" s="60" t="s">
        <v>61</v>
      </c>
      <c r="B42" s="3"/>
      <c r="C42" s="156"/>
      <c r="D42" s="153"/>
      <c r="E42" s="153"/>
      <c r="F42" s="150"/>
      <c r="G42" s="153"/>
      <c r="H42" s="153"/>
      <c r="I42" s="153"/>
      <c r="L42" s="132"/>
    </row>
    <row r="43" spans="1:15">
      <c r="A43" s="5"/>
      <c r="B43" s="3" t="str">
        <f>'Main Acc'!BD3</f>
        <v>Neighbourhood Planning</v>
      </c>
      <c r="C43" s="156">
        <f>+'[1]Year end spend v budget'!C23</f>
        <v>1020</v>
      </c>
      <c r="D43" s="153">
        <f>+'[1]Year end spend v budget'!B23</f>
        <v>388.56</v>
      </c>
      <c r="E43" s="153">
        <f>+C43-D43</f>
        <v>631.44000000000005</v>
      </c>
      <c r="F43" s="150"/>
      <c r="G43" s="153">
        <v>500</v>
      </c>
      <c r="H43" s="153">
        <f>'Main Acc'!BD142</f>
        <v>0</v>
      </c>
      <c r="I43" s="153">
        <f>+H43/12*12</f>
        <v>0</v>
      </c>
      <c r="K43" s="129">
        <f>G43/100*2</f>
        <v>10</v>
      </c>
      <c r="L43" s="132">
        <f>G43+K43</f>
        <v>510</v>
      </c>
      <c r="O43" s="129" t="s">
        <v>555</v>
      </c>
    </row>
    <row r="44" spans="1:15">
      <c r="A44" s="5"/>
      <c r="B44" s="3"/>
      <c r="C44" s="156"/>
      <c r="D44" s="153"/>
      <c r="E44" s="153"/>
      <c r="F44" s="150"/>
      <c r="G44" s="153"/>
      <c r="H44" s="153"/>
      <c r="I44" s="153"/>
      <c r="L44" s="132">
        <f>L43</f>
        <v>510</v>
      </c>
    </row>
    <row r="45" spans="1:15">
      <c r="A45" s="5"/>
      <c r="B45" s="3"/>
      <c r="C45" s="156"/>
      <c r="D45" s="153"/>
      <c r="E45" s="153"/>
      <c r="F45" s="150"/>
      <c r="G45" s="153"/>
      <c r="H45" s="153"/>
      <c r="I45" s="153"/>
      <c r="L45" s="132"/>
    </row>
    <row r="46" spans="1:15">
      <c r="A46" s="5" t="s">
        <v>556</v>
      </c>
      <c r="B46" s="3" t="s">
        <v>557</v>
      </c>
      <c r="C46" s="156"/>
      <c r="D46" s="153"/>
      <c r="E46" s="153"/>
      <c r="F46" s="150"/>
      <c r="G46" s="153"/>
      <c r="H46" s="153"/>
      <c r="I46" s="153"/>
      <c r="L46" s="132">
        <v>2500</v>
      </c>
    </row>
    <row r="47" spans="1:15">
      <c r="A47" s="5"/>
      <c r="B47" s="3"/>
      <c r="C47" s="157">
        <f>SUM(C42:C43)</f>
        <v>1020</v>
      </c>
      <c r="D47" s="157">
        <f t="shared" ref="D47:I47" si="12">SUM(D42:D43)</f>
        <v>388.56</v>
      </c>
      <c r="E47" s="157">
        <f t="shared" si="12"/>
        <v>631.44000000000005</v>
      </c>
      <c r="F47" s="150"/>
      <c r="G47" s="157">
        <f t="shared" si="12"/>
        <v>500</v>
      </c>
      <c r="H47" s="157">
        <f t="shared" si="12"/>
        <v>0</v>
      </c>
      <c r="I47" s="157">
        <f t="shared" si="12"/>
        <v>0</v>
      </c>
      <c r="L47" s="134">
        <f>L46</f>
        <v>2500</v>
      </c>
    </row>
    <row r="48" spans="1:15">
      <c r="A48" s="5"/>
      <c r="B48" s="3"/>
      <c r="C48" s="157"/>
      <c r="D48" s="157"/>
      <c r="E48" s="157"/>
      <c r="F48" s="150"/>
      <c r="G48" s="157"/>
      <c r="H48" s="157"/>
      <c r="I48" s="157"/>
      <c r="L48" s="188"/>
    </row>
    <row r="49" spans="1:22">
      <c r="A49" s="5" t="s">
        <v>558</v>
      </c>
      <c r="B49" s="3" t="s">
        <v>557</v>
      </c>
      <c r="C49" s="157"/>
      <c r="D49" s="157"/>
      <c r="E49" s="157"/>
      <c r="F49" s="150"/>
      <c r="G49" s="157"/>
      <c r="H49" s="157"/>
      <c r="I49" s="157"/>
      <c r="L49" s="188">
        <v>2500</v>
      </c>
    </row>
    <row r="50" spans="1:22">
      <c r="A50" s="5"/>
      <c r="B50" s="3"/>
      <c r="C50" s="157"/>
      <c r="D50" s="157"/>
      <c r="E50" s="157"/>
      <c r="F50" s="150"/>
      <c r="G50" s="157"/>
      <c r="H50" s="157"/>
      <c r="I50" s="157"/>
      <c r="L50" s="188">
        <f>L49</f>
        <v>2500</v>
      </c>
    </row>
    <row r="51" spans="1:22">
      <c r="A51" s="60" t="s">
        <v>394</v>
      </c>
      <c r="B51" s="3"/>
      <c r="C51" s="156"/>
      <c r="D51" s="153"/>
      <c r="E51" s="153"/>
      <c r="F51" s="150"/>
      <c r="G51" s="153"/>
      <c r="H51" s="153"/>
      <c r="I51" s="153"/>
      <c r="L51" s="132"/>
    </row>
    <row r="52" spans="1:22">
      <c r="A52" s="5"/>
      <c r="B52" s="3" t="s">
        <v>31</v>
      </c>
      <c r="C52" s="156">
        <f>+'[1]Year end spend v budget'!C17</f>
        <v>400</v>
      </c>
      <c r="D52" s="153">
        <f>+'[1]Year end spend v budget'!B17</f>
        <v>250</v>
      </c>
      <c r="E52" s="153">
        <f t="shared" si="2"/>
        <v>150</v>
      </c>
      <c r="F52" s="153"/>
      <c r="G52" s="153">
        <f>+[2]Sheet1!F23</f>
        <v>400</v>
      </c>
      <c r="H52" s="153">
        <f>'Main Acc'!AZ142</f>
        <v>0</v>
      </c>
      <c r="I52" s="153">
        <f t="shared" ref="I52" si="13">H52/$AD$5*12</f>
        <v>0</v>
      </c>
      <c r="L52" s="132">
        <v>2000</v>
      </c>
      <c r="O52" s="131" t="s">
        <v>559</v>
      </c>
    </row>
    <row r="53" spans="1:22">
      <c r="A53" s="5"/>
      <c r="B53" s="3"/>
      <c r="C53" s="157">
        <f>SUM(C52:C52)</f>
        <v>400</v>
      </c>
      <c r="D53" s="157">
        <f>SUM(D52:D52)</f>
        <v>250</v>
      </c>
      <c r="E53" s="157">
        <f>SUM(E52:E52)</f>
        <v>150</v>
      </c>
      <c r="F53" s="158"/>
      <c r="G53" s="157">
        <f>SUM(G52:G52)</f>
        <v>400</v>
      </c>
      <c r="H53" s="157">
        <f>SUM(H52:H52)</f>
        <v>0</v>
      </c>
      <c r="I53" s="157">
        <f>SUM(I52:I52)</f>
        <v>0</v>
      </c>
      <c r="L53" s="134">
        <f>L52</f>
        <v>2000</v>
      </c>
    </row>
    <row r="54" spans="1:22">
      <c r="A54" s="5"/>
      <c r="B54" s="3"/>
      <c r="C54" s="157"/>
      <c r="D54" s="157"/>
      <c r="E54" s="157"/>
      <c r="F54" s="158"/>
      <c r="G54" s="157"/>
      <c r="H54" s="153"/>
      <c r="I54" s="153"/>
      <c r="L54" s="132"/>
      <c r="V54" t="s">
        <v>547</v>
      </c>
    </row>
    <row r="55" spans="1:22">
      <c r="A55" s="5"/>
      <c r="B55" s="3" t="s">
        <v>57</v>
      </c>
      <c r="C55" s="157"/>
      <c r="D55" s="157"/>
      <c r="E55" s="157"/>
      <c r="F55" s="158"/>
      <c r="G55" s="157">
        <f>+[2]Sheet1!$F$24</f>
        <v>1000</v>
      </c>
      <c r="H55" s="153">
        <f>'Main Acc'!AY142</f>
        <v>0</v>
      </c>
      <c r="I55" s="153">
        <f>H55/$AD$5*12</f>
        <v>0</v>
      </c>
      <c r="L55" s="132">
        <v>1000</v>
      </c>
      <c r="O55" s="131" t="s">
        <v>392</v>
      </c>
    </row>
    <row r="56" spans="1:22">
      <c r="A56" s="5"/>
      <c r="B56" s="3" t="s">
        <v>60</v>
      </c>
      <c r="C56" s="153"/>
      <c r="D56" s="153"/>
      <c r="E56" s="153"/>
      <c r="F56" s="153"/>
      <c r="G56" s="157">
        <v>100</v>
      </c>
      <c r="H56" s="153">
        <f>'Main Acc'!BC142</f>
        <v>25</v>
      </c>
      <c r="I56" s="153">
        <f>H56/$AD$5*12</f>
        <v>60</v>
      </c>
      <c r="L56" s="132">
        <v>100</v>
      </c>
    </row>
    <row r="57" spans="1:22" ht="13.5" thickBot="1">
      <c r="A57" s="5"/>
      <c r="B57" s="60" t="s">
        <v>28</v>
      </c>
      <c r="C57" s="159">
        <f>+C10+C18+C21+C34+C38+C41+C47+C53</f>
        <v>39026.407999999996</v>
      </c>
      <c r="D57" s="159">
        <f>+D10+D18+D21+D34+D38+D41+D47+D53</f>
        <v>47373.969999999994</v>
      </c>
      <c r="E57" s="159">
        <f>+E10+E18+E21+E34+E38+E41+E47+E53</f>
        <v>-8347.5619999999999</v>
      </c>
      <c r="F57" s="153"/>
      <c r="G57" s="184">
        <f>G10+G18+G21+G34+G38+G41+G47+G53+G55+G56</f>
        <v>46461.69</v>
      </c>
      <c r="H57" s="159" t="e">
        <f>+H10+H18+H21+H34+H38+H41+H47+H53+H55+H56</f>
        <v>#REF!</v>
      </c>
      <c r="I57" s="159">
        <f>+I10+I18+I21+I34+I38+I41+I47+I53+I55+I56</f>
        <v>38657.251999999993</v>
      </c>
      <c r="L57" s="135">
        <f>SUM(L55:L56)</f>
        <v>1100</v>
      </c>
    </row>
    <row r="58" spans="1:22" ht="13.5" thickTop="1">
      <c r="C58" s="133"/>
      <c r="D58" s="132"/>
      <c r="E58" s="132"/>
      <c r="F58" s="138"/>
      <c r="G58" s="132"/>
      <c r="H58" s="132"/>
      <c r="I58" s="132"/>
      <c r="L58" s="132">
        <f>L57+L53+L47+L41+L38+L34+L21+L18+L10+L50</f>
        <v>56487.413280000008</v>
      </c>
    </row>
    <row r="59" spans="1:22">
      <c r="C59" s="133"/>
      <c r="D59" s="133"/>
      <c r="E59" s="133"/>
      <c r="F59" s="138"/>
      <c r="G59" s="136" t="s">
        <v>64</v>
      </c>
      <c r="H59" s="133">
        <f>'Main Acc'!H142</f>
        <v>0</v>
      </c>
      <c r="I59" s="133"/>
      <c r="L59" s="133"/>
    </row>
    <row r="60" spans="1:22">
      <c r="C60" s="131"/>
      <c r="H60" s="129" t="e">
        <f>+H57-H59</f>
        <v>#REF!</v>
      </c>
    </row>
    <row r="61" spans="1:22">
      <c r="C61" s="131"/>
      <c r="L61" s="133"/>
    </row>
    <row r="62" spans="1:22">
      <c r="C62" s="131"/>
    </row>
    <row r="63" spans="1:22">
      <c r="C63" s="131"/>
      <c r="P63" s="175">
        <f>G57</f>
        <v>46461.69</v>
      </c>
    </row>
    <row r="64" spans="1:22">
      <c r="C64" s="131"/>
      <c r="M64" s="322" t="s">
        <v>560</v>
      </c>
      <c r="N64" s="323"/>
      <c r="P64">
        <f>G57/100*2</f>
        <v>929.23380000000009</v>
      </c>
    </row>
    <row r="65" spans="1:30">
      <c r="C65" s="131"/>
      <c r="P65" s="175">
        <f>P63+P64</f>
        <v>47390.923800000004</v>
      </c>
    </row>
    <row r="66" spans="1:30" s="129" customFormat="1">
      <c r="A66" s="121"/>
      <c r="B66" s="171"/>
      <c r="C66" s="172"/>
      <c r="D66" s="172"/>
      <c r="E66" s="172"/>
      <c r="F66" s="173"/>
      <c r="G66" s="172"/>
      <c r="H66" s="172"/>
      <c r="J66" s="137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</row>
    <row r="67" spans="1:30" s="129" customFormat="1" ht="15">
      <c r="A67" s="121"/>
      <c r="B67" s="174"/>
      <c r="C67" s="172"/>
      <c r="D67" s="172"/>
      <c r="E67" s="172"/>
      <c r="F67" s="173"/>
      <c r="G67" s="172"/>
      <c r="H67" s="172"/>
      <c r="J67" s="13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</row>
    <row r="68" spans="1:30" s="129" customFormat="1" ht="15">
      <c r="A68" s="121"/>
      <c r="B68" s="174"/>
      <c r="C68" s="172"/>
      <c r="D68" s="172"/>
      <c r="E68" s="172"/>
      <c r="F68" s="173"/>
      <c r="G68" s="172"/>
      <c r="H68" s="172"/>
      <c r="J68" s="137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</row>
    <row r="69" spans="1:30" s="129" customFormat="1" ht="15">
      <c r="A69" s="121"/>
      <c r="B69" s="174"/>
      <c r="C69" s="172"/>
      <c r="D69" s="172"/>
      <c r="E69" s="172"/>
      <c r="F69" s="173"/>
      <c r="G69" s="172"/>
      <c r="H69" s="172"/>
      <c r="J69" s="137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</row>
  </sheetData>
  <mergeCells count="4">
    <mergeCell ref="A2:B2"/>
    <mergeCell ref="C2:E2"/>
    <mergeCell ref="G2:I2"/>
    <mergeCell ref="M64:N64"/>
  </mergeCells>
  <pageMargins left="0.7" right="0.7" top="0.75" bottom="0.75" header="0.3" footer="0.3"/>
  <pageSetup paperSize="9" scale="30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62"/>
  <sheetViews>
    <sheetView tabSelected="1" zoomScale="94" zoomScaleNormal="100" workbookViewId="0">
      <pane xSplit="4" ySplit="3" topLeftCell="Q10" activePane="bottomRight" state="frozen"/>
      <selection pane="bottomRight" activeCell="A21" sqref="A21:XFD21"/>
      <selection pane="bottomLeft" activeCell="A4" sqref="A4"/>
      <selection pane="topRight" activeCell="E1" sqref="E1"/>
    </sheetView>
  </sheetViews>
  <sheetFormatPr defaultRowHeight="12.75"/>
  <cols>
    <col min="1" max="1" width="16.28515625" style="21" customWidth="1"/>
    <col min="2" max="2" width="18.7109375" style="8" bestFit="1" customWidth="1"/>
    <col min="3" max="3" width="21.42578125" style="8" bestFit="1" customWidth="1"/>
    <col min="4" max="4" width="11.42578125" style="16" hidden="1" customWidth="1"/>
    <col min="5" max="5" width="11.5703125" bestFit="1" customWidth="1"/>
    <col min="6" max="6" width="11.5703125" customWidth="1"/>
    <col min="7" max="7" width="10.7109375" customWidth="1"/>
    <col min="8" max="8" width="12.140625" customWidth="1"/>
    <col min="9" max="9" width="11.140625" customWidth="1"/>
    <col min="10" max="10" width="10.7109375" bestFit="1" customWidth="1"/>
    <col min="11" max="11" width="11.85546875" customWidth="1"/>
    <col min="12" max="12" width="14.5703125" customWidth="1"/>
    <col min="13" max="13" width="11.140625" customWidth="1"/>
    <col min="14" max="14" width="11.5703125" customWidth="1"/>
    <col min="15" max="15" width="11.7109375" customWidth="1"/>
    <col min="16" max="16" width="10.85546875" style="44" customWidth="1"/>
    <col min="17" max="17" width="11" style="44" customWidth="1"/>
    <col min="18" max="18" width="25" style="44" hidden="1" customWidth="1"/>
    <col min="19" max="19" width="4.85546875" bestFit="1" customWidth="1"/>
    <col min="20" max="20" width="11.140625" bestFit="1" customWidth="1"/>
    <col min="21" max="21" width="12.42578125" bestFit="1" customWidth="1"/>
    <col min="22" max="22" width="13.85546875" bestFit="1" customWidth="1"/>
    <col min="23" max="23" width="9.7109375" style="12" bestFit="1" customWidth="1"/>
    <col min="24" max="24" width="10.42578125" bestFit="1" customWidth="1"/>
    <col min="25" max="26" width="10.7109375" bestFit="1" customWidth="1"/>
    <col min="27" max="27" width="9.7109375" bestFit="1" customWidth="1"/>
    <col min="28" max="28" width="9.140625" bestFit="1" customWidth="1"/>
    <col min="29" max="29" width="6.42578125" bestFit="1" customWidth="1"/>
    <col min="30" max="30" width="11.28515625" bestFit="1" customWidth="1"/>
    <col min="31" max="32" width="11.28515625" customWidth="1"/>
    <col min="33" max="33" width="10.7109375" bestFit="1" customWidth="1"/>
    <col min="34" max="34" width="11.140625" style="12" customWidth="1"/>
    <col min="35" max="35" width="10.42578125" bestFit="1" customWidth="1"/>
    <col min="36" max="37" width="11.28515625" bestFit="1" customWidth="1"/>
    <col min="38" max="38" width="13.42578125" bestFit="1" customWidth="1"/>
    <col min="39" max="39" width="10.42578125" bestFit="1" customWidth="1"/>
    <col min="40" max="40" width="11.42578125" bestFit="1" customWidth="1"/>
    <col min="41" max="42" width="13.5703125" bestFit="1" customWidth="1"/>
    <col min="43" max="43" width="8" bestFit="1" customWidth="1"/>
    <col min="44" max="44" width="11.42578125" bestFit="1" customWidth="1"/>
    <col min="45" max="45" width="16.140625" bestFit="1" customWidth="1"/>
    <col min="46" max="46" width="13.5703125" bestFit="1" customWidth="1"/>
    <col min="47" max="48" width="9.7109375" bestFit="1" customWidth="1"/>
    <col min="49" max="49" width="14.140625" bestFit="1" customWidth="1"/>
    <col min="50" max="50" width="9.7109375" bestFit="1" customWidth="1"/>
    <col min="51" max="51" width="7.28515625" bestFit="1" customWidth="1"/>
    <col min="52" max="52" width="8.7109375" bestFit="1" customWidth="1"/>
    <col min="53" max="53" width="9.7109375" bestFit="1" customWidth="1"/>
    <col min="54" max="54" width="7.140625" bestFit="1" customWidth="1"/>
    <col min="55" max="55" width="9.28515625" bestFit="1" customWidth="1"/>
    <col min="56" max="56" width="16.42578125" bestFit="1" customWidth="1"/>
    <col min="57" max="57" width="14" customWidth="1"/>
    <col min="58" max="58" width="11.7109375" customWidth="1"/>
    <col min="59" max="59" width="15" style="303" bestFit="1" customWidth="1"/>
    <col min="60" max="60" width="9.140625" style="297"/>
  </cols>
  <sheetData>
    <row r="1" spans="1:61">
      <c r="D1" s="11"/>
      <c r="E1" s="13"/>
      <c r="P1"/>
      <c r="S1" s="44"/>
      <c r="T1" s="5"/>
      <c r="U1" s="5"/>
      <c r="V1" s="109"/>
      <c r="AH1"/>
      <c r="AI1" s="12"/>
      <c r="BF1" s="273"/>
    </row>
    <row r="2" spans="1:61" ht="32.450000000000003" customHeight="1">
      <c r="A2" s="228" t="s">
        <v>22</v>
      </c>
      <c r="B2" s="112"/>
      <c r="C2" s="112"/>
      <c r="D2" s="139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2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3"/>
      <c r="BG2" s="304"/>
      <c r="BH2" s="298"/>
      <c r="BI2" s="113"/>
    </row>
    <row r="3" spans="1:61" s="2" customFormat="1" ht="54" customHeight="1">
      <c r="A3" s="22" t="s">
        <v>23</v>
      </c>
      <c r="B3" s="1" t="s">
        <v>24</v>
      </c>
      <c r="C3" s="1" t="s">
        <v>25</v>
      </c>
      <c r="D3" s="1" t="s">
        <v>26</v>
      </c>
      <c r="E3" s="97"/>
      <c r="F3" s="98">
        <v>45017</v>
      </c>
      <c r="G3" s="98">
        <v>45047</v>
      </c>
      <c r="H3" s="98">
        <v>45078</v>
      </c>
      <c r="I3" s="98">
        <v>45108</v>
      </c>
      <c r="J3" s="98">
        <v>45139</v>
      </c>
      <c r="K3" s="98">
        <v>45170</v>
      </c>
      <c r="L3" s="98">
        <v>45200</v>
      </c>
      <c r="M3" s="98">
        <v>45231</v>
      </c>
      <c r="N3" s="98">
        <v>45261</v>
      </c>
      <c r="O3" s="98">
        <v>45292</v>
      </c>
      <c r="P3" s="98">
        <v>45323</v>
      </c>
      <c r="Q3" s="98">
        <v>45352</v>
      </c>
      <c r="R3" s="50" t="s">
        <v>27</v>
      </c>
      <c r="S3" s="229"/>
      <c r="T3" s="99" t="s">
        <v>28</v>
      </c>
      <c r="U3" s="107"/>
      <c r="V3" s="231" t="s">
        <v>4</v>
      </c>
      <c r="W3" s="1" t="s">
        <v>29</v>
      </c>
      <c r="X3" s="51" t="s">
        <v>30</v>
      </c>
      <c r="Y3" s="51" t="s">
        <v>31</v>
      </c>
      <c r="Z3" s="51" t="s">
        <v>32</v>
      </c>
      <c r="AA3" s="51" t="s">
        <v>33</v>
      </c>
      <c r="AB3" s="51" t="s">
        <v>34</v>
      </c>
      <c r="AC3" s="51" t="s">
        <v>35</v>
      </c>
      <c r="AD3" s="1" t="s">
        <v>36</v>
      </c>
      <c r="AE3" s="1" t="s">
        <v>37</v>
      </c>
      <c r="AF3" s="1" t="s">
        <v>38</v>
      </c>
      <c r="AG3" s="1" t="s">
        <v>39</v>
      </c>
      <c r="AH3" s="1" t="s">
        <v>40</v>
      </c>
      <c r="AI3" s="1" t="s">
        <v>41</v>
      </c>
      <c r="AJ3" s="1" t="s">
        <v>42</v>
      </c>
      <c r="AK3" s="1" t="s">
        <v>43</v>
      </c>
      <c r="AL3" s="1" t="s">
        <v>44</v>
      </c>
      <c r="AM3" s="1" t="s">
        <v>45</v>
      </c>
      <c r="AN3" s="1" t="s">
        <v>46</v>
      </c>
      <c r="AO3" s="1" t="s">
        <v>47</v>
      </c>
      <c r="AP3" s="1" t="s">
        <v>48</v>
      </c>
      <c r="AQ3" s="1" t="s">
        <v>49</v>
      </c>
      <c r="AR3" s="1" t="s">
        <v>50</v>
      </c>
      <c r="AS3" s="1" t="s">
        <v>51</v>
      </c>
      <c r="AT3" s="1" t="s">
        <v>52</v>
      </c>
      <c r="AU3" s="1" t="s">
        <v>53</v>
      </c>
      <c r="AV3" s="1" t="s">
        <v>54</v>
      </c>
      <c r="AW3" s="1" t="s">
        <v>55</v>
      </c>
      <c r="AX3" s="1" t="s">
        <v>56</v>
      </c>
      <c r="AY3" s="1" t="s">
        <v>57</v>
      </c>
      <c r="AZ3" s="1" t="s">
        <v>58</v>
      </c>
      <c r="BA3" s="1" t="s">
        <v>59</v>
      </c>
      <c r="BB3" s="1" t="s">
        <v>53</v>
      </c>
      <c r="BC3" s="1" t="s">
        <v>60</v>
      </c>
      <c r="BD3" s="1" t="s">
        <v>61</v>
      </c>
      <c r="BE3" s="1" t="s">
        <v>62</v>
      </c>
      <c r="BF3" s="2" t="s">
        <v>63</v>
      </c>
      <c r="BG3" s="275" t="s">
        <v>28</v>
      </c>
      <c r="BH3" s="299" t="s">
        <v>64</v>
      </c>
    </row>
    <row r="4" spans="1:61" s="2" customFormat="1" ht="48" customHeight="1">
      <c r="A4" s="111" t="s">
        <v>65</v>
      </c>
      <c r="B4" s="112"/>
      <c r="C4" s="117"/>
      <c r="D4" s="139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2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271"/>
      <c r="BG4" s="304"/>
      <c r="BH4" s="299"/>
    </row>
    <row r="5" spans="1:61" s="2" customFormat="1" ht="12.75" customHeight="1">
      <c r="A5" s="120" t="s">
        <v>66</v>
      </c>
      <c r="B5" s="191" t="s">
        <v>67</v>
      </c>
      <c r="C5" s="32" t="s">
        <v>4</v>
      </c>
      <c r="D5" s="1"/>
      <c r="E5" s="48"/>
      <c r="F5" s="54">
        <v>16882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78"/>
      <c r="T5" s="54">
        <f t="shared" ref="T5:T13" si="0">F5</f>
        <v>16882</v>
      </c>
      <c r="U5" s="54"/>
      <c r="V5" s="170">
        <f>T5</f>
        <v>16882</v>
      </c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305"/>
      <c r="BH5" s="299"/>
    </row>
    <row r="6" spans="1:61" s="2" customFormat="1" ht="12.75" customHeight="1">
      <c r="A6" s="120" t="s">
        <v>68</v>
      </c>
      <c r="B6" s="191" t="s">
        <v>69</v>
      </c>
      <c r="C6" s="32" t="s">
        <v>70</v>
      </c>
      <c r="D6" s="1"/>
      <c r="E6" s="48"/>
      <c r="F6" s="54">
        <v>509.8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78"/>
      <c r="T6" s="54">
        <f t="shared" si="0"/>
        <v>509.8</v>
      </c>
      <c r="U6" s="54"/>
      <c r="V6" s="170"/>
      <c r="W6" s="54"/>
      <c r="X6" s="54">
        <f t="shared" ref="X6:X11" si="1">T6</f>
        <v>509.8</v>
      </c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305"/>
      <c r="BH6" s="299"/>
    </row>
    <row r="7" spans="1:61" s="2" customFormat="1" ht="12.75" customHeight="1">
      <c r="A7" s="120" t="s">
        <v>71</v>
      </c>
      <c r="B7" s="191" t="s">
        <v>72</v>
      </c>
      <c r="C7" s="32" t="s">
        <v>73</v>
      </c>
      <c r="D7" s="1"/>
      <c r="E7" s="48"/>
      <c r="F7" s="54">
        <v>330</v>
      </c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78"/>
      <c r="T7" s="54">
        <f t="shared" si="0"/>
        <v>330</v>
      </c>
      <c r="U7" s="54"/>
      <c r="V7" s="170"/>
      <c r="W7" s="54"/>
      <c r="X7" s="54">
        <f t="shared" si="1"/>
        <v>330</v>
      </c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305"/>
      <c r="BH7" s="299"/>
    </row>
    <row r="8" spans="1:61" s="2" customFormat="1" ht="12.75" customHeight="1">
      <c r="A8" s="120" t="s">
        <v>74</v>
      </c>
      <c r="B8" s="191" t="s">
        <v>75</v>
      </c>
      <c r="C8" s="32" t="s">
        <v>70</v>
      </c>
      <c r="D8" s="1"/>
      <c r="E8" s="48"/>
      <c r="F8" s="54">
        <v>509.8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78"/>
      <c r="T8" s="54">
        <f t="shared" si="0"/>
        <v>509.8</v>
      </c>
      <c r="U8" s="54"/>
      <c r="V8" s="170"/>
      <c r="W8" s="54"/>
      <c r="X8" s="54">
        <f t="shared" si="1"/>
        <v>509.8</v>
      </c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305"/>
      <c r="BH8" s="299"/>
    </row>
    <row r="9" spans="1:61" s="2" customFormat="1" ht="12.75" customHeight="1">
      <c r="A9" s="120" t="s">
        <v>76</v>
      </c>
      <c r="B9" s="191" t="s">
        <v>77</v>
      </c>
      <c r="C9" s="32" t="s">
        <v>70</v>
      </c>
      <c r="D9" s="1"/>
      <c r="E9" s="48"/>
      <c r="F9" s="54">
        <v>412.5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78"/>
      <c r="T9" s="54">
        <f t="shared" si="0"/>
        <v>412.5</v>
      </c>
      <c r="U9" s="54"/>
      <c r="V9" s="170"/>
      <c r="W9" s="54"/>
      <c r="X9" s="54">
        <f t="shared" si="1"/>
        <v>412.5</v>
      </c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305"/>
      <c r="BH9" s="299"/>
    </row>
    <row r="10" spans="1:61" s="2" customFormat="1" ht="12.75" customHeight="1">
      <c r="A10" s="120" t="s">
        <v>76</v>
      </c>
      <c r="B10" s="191" t="s">
        <v>78</v>
      </c>
      <c r="C10" s="32" t="s">
        <v>73</v>
      </c>
      <c r="D10" s="1"/>
      <c r="E10" s="48"/>
      <c r="F10" s="54">
        <v>396</v>
      </c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78"/>
      <c r="T10" s="54">
        <f t="shared" si="0"/>
        <v>396</v>
      </c>
      <c r="U10" s="54"/>
      <c r="V10" s="170"/>
      <c r="W10" s="54"/>
      <c r="X10" s="54">
        <f t="shared" si="1"/>
        <v>396</v>
      </c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305"/>
      <c r="BH10" s="299"/>
    </row>
    <row r="11" spans="1:61" s="2" customFormat="1" ht="12.75" customHeight="1">
      <c r="A11" s="120" t="s">
        <v>79</v>
      </c>
      <c r="B11" s="3" t="s">
        <v>80</v>
      </c>
      <c r="C11" s="32" t="s">
        <v>70</v>
      </c>
      <c r="D11" s="1"/>
      <c r="E11" s="48"/>
      <c r="F11" s="54">
        <v>463.57</v>
      </c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78"/>
      <c r="T11" s="54">
        <f t="shared" si="0"/>
        <v>463.57</v>
      </c>
      <c r="U11" s="54"/>
      <c r="V11" s="170"/>
      <c r="W11" s="54"/>
      <c r="X11" s="54">
        <f t="shared" si="1"/>
        <v>463.57</v>
      </c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305"/>
      <c r="BH11" s="299"/>
    </row>
    <row r="12" spans="1:61" s="2" customFormat="1" ht="12.75" customHeight="1">
      <c r="A12" s="120" t="s">
        <v>79</v>
      </c>
      <c r="B12" s="193" t="s">
        <v>67</v>
      </c>
      <c r="C12" s="194" t="s">
        <v>81</v>
      </c>
      <c r="D12" s="3"/>
      <c r="E12" s="48"/>
      <c r="F12" s="54">
        <v>2691.79</v>
      </c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78"/>
      <c r="T12" s="54">
        <f t="shared" si="0"/>
        <v>2691.79</v>
      </c>
      <c r="U12" s="54"/>
      <c r="V12" s="170"/>
      <c r="W12" s="54"/>
      <c r="X12" s="54"/>
      <c r="Y12" s="54">
        <f>T12</f>
        <v>2691.79</v>
      </c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305"/>
      <c r="BH12" s="299"/>
    </row>
    <row r="13" spans="1:61" s="2" customFormat="1" ht="12.75" customHeight="1">
      <c r="A13" s="120" t="s">
        <v>82</v>
      </c>
      <c r="B13" s="193" t="s">
        <v>83</v>
      </c>
      <c r="C13" s="194" t="s">
        <v>70</v>
      </c>
      <c r="D13" s="3"/>
      <c r="E13" s="48"/>
      <c r="F13" s="54">
        <v>429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78"/>
      <c r="T13" s="54">
        <f t="shared" si="0"/>
        <v>429</v>
      </c>
      <c r="U13" s="54"/>
      <c r="V13" s="170"/>
      <c r="W13" s="54"/>
      <c r="X13" s="54">
        <f>T13</f>
        <v>429</v>
      </c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305"/>
      <c r="BH13" s="299"/>
    </row>
    <row r="14" spans="1:61">
      <c r="A14" s="120" t="s">
        <v>84</v>
      </c>
      <c r="B14" s="7" t="s">
        <v>85</v>
      </c>
      <c r="C14" s="7" t="s">
        <v>86</v>
      </c>
      <c r="D14" s="53"/>
      <c r="E14" s="5"/>
      <c r="F14" s="54"/>
      <c r="G14" s="54">
        <v>550.26</v>
      </c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78"/>
      <c r="T14" s="54">
        <f>G14</f>
        <v>550.26</v>
      </c>
      <c r="U14" s="54"/>
      <c r="V14" s="170"/>
      <c r="W14" s="54"/>
      <c r="X14" s="54"/>
      <c r="Y14" s="54">
        <f>T14</f>
        <v>550.26</v>
      </c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305"/>
    </row>
    <row r="15" spans="1:61" s="2" customFormat="1" ht="12.75" customHeight="1">
      <c r="A15" s="52" t="s">
        <v>87</v>
      </c>
      <c r="B15" s="193" t="s">
        <v>88</v>
      </c>
      <c r="C15" s="194" t="s">
        <v>89</v>
      </c>
      <c r="D15" s="3"/>
      <c r="E15" s="56"/>
      <c r="F15" s="54"/>
      <c r="G15" s="54">
        <v>4.5999999999999996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78"/>
      <c r="T15" s="54">
        <f t="shared" ref="T15:T16" si="2">G15</f>
        <v>4.5999999999999996</v>
      </c>
      <c r="U15" s="54"/>
      <c r="V15" s="170"/>
      <c r="W15" s="54"/>
      <c r="X15" s="54"/>
      <c r="Y15" s="54"/>
      <c r="Z15" s="54"/>
      <c r="AA15" s="54">
        <f>T15</f>
        <v>4.5999999999999996</v>
      </c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305"/>
      <c r="BH15" s="299"/>
    </row>
    <row r="16" spans="1:61" s="2" customFormat="1" ht="12.75" customHeight="1">
      <c r="A16" s="120" t="s">
        <v>90</v>
      </c>
      <c r="B16" s="3"/>
      <c r="C16" s="32" t="s">
        <v>70</v>
      </c>
      <c r="D16" s="3"/>
      <c r="E16" s="48"/>
      <c r="F16" s="54"/>
      <c r="G16" s="54">
        <v>381.7</v>
      </c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78"/>
      <c r="T16" s="54">
        <f t="shared" si="2"/>
        <v>381.7</v>
      </c>
      <c r="U16" s="54"/>
      <c r="V16" s="170"/>
      <c r="W16" s="54"/>
      <c r="X16" s="54">
        <f>T16</f>
        <v>381.7</v>
      </c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305"/>
      <c r="BH16" s="299"/>
    </row>
    <row r="17" spans="1:60" s="2" customFormat="1" ht="12.75" customHeight="1">
      <c r="A17" s="192" t="s">
        <v>91</v>
      </c>
      <c r="B17" s="4" t="s">
        <v>92</v>
      </c>
      <c r="C17" s="4" t="s">
        <v>93</v>
      </c>
      <c r="D17" s="3"/>
      <c r="E17" s="56"/>
      <c r="F17" s="54"/>
      <c r="G17" s="54"/>
      <c r="H17" s="54"/>
      <c r="I17" s="54">
        <v>3878</v>
      </c>
      <c r="J17" s="54"/>
      <c r="K17" s="54"/>
      <c r="L17" s="54"/>
      <c r="M17" s="54"/>
      <c r="N17" s="54"/>
      <c r="O17" s="54"/>
      <c r="P17" s="54"/>
      <c r="Q17" s="54"/>
      <c r="R17" s="54"/>
      <c r="S17" s="78"/>
      <c r="T17" s="54">
        <f>I17</f>
        <v>3878</v>
      </c>
      <c r="U17" s="54"/>
      <c r="V17" s="170"/>
      <c r="W17" s="54"/>
      <c r="X17" s="54"/>
      <c r="Y17" s="54">
        <f>T17</f>
        <v>3878</v>
      </c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305"/>
      <c r="BH17" s="299"/>
    </row>
    <row r="18" spans="1:60" s="2" customFormat="1" ht="12.75" customHeight="1">
      <c r="A18" s="192" t="s">
        <v>94</v>
      </c>
      <c r="B18" s="192" t="s">
        <v>67</v>
      </c>
      <c r="C18" s="192" t="s">
        <v>4</v>
      </c>
      <c r="D18" s="3"/>
      <c r="E18" s="56"/>
      <c r="F18" s="54"/>
      <c r="G18" s="54"/>
      <c r="H18" s="54"/>
      <c r="I18" s="54"/>
      <c r="J18" s="54"/>
      <c r="K18" s="54">
        <v>16882</v>
      </c>
      <c r="L18" s="54"/>
      <c r="M18" s="54"/>
      <c r="N18" s="54"/>
      <c r="O18" s="54"/>
      <c r="P18" s="54"/>
      <c r="Q18" s="54"/>
      <c r="R18" s="54"/>
      <c r="S18" s="78"/>
      <c r="T18" s="54">
        <f>K18</f>
        <v>16882</v>
      </c>
      <c r="U18" s="54"/>
      <c r="V18" s="170">
        <f>T18</f>
        <v>16882</v>
      </c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305"/>
      <c r="BH18" s="299"/>
    </row>
    <row r="19" spans="1:60" s="2" customFormat="1" ht="12.75" customHeight="1">
      <c r="A19" s="120" t="s">
        <v>95</v>
      </c>
      <c r="B19" s="53" t="s">
        <v>96</v>
      </c>
      <c r="C19" s="118" t="s">
        <v>97</v>
      </c>
      <c r="D19" s="3"/>
      <c r="E19" s="56"/>
      <c r="F19" s="54"/>
      <c r="G19" s="54"/>
      <c r="H19" s="54"/>
      <c r="I19" s="54"/>
      <c r="J19" s="54"/>
      <c r="K19" s="54">
        <v>1</v>
      </c>
      <c r="L19" s="54"/>
      <c r="M19" s="54"/>
      <c r="N19" s="54"/>
      <c r="O19" s="54"/>
      <c r="P19" s="54"/>
      <c r="Q19" s="54"/>
      <c r="R19" s="54"/>
      <c r="S19" s="78"/>
      <c r="T19" s="54">
        <f>K19</f>
        <v>1</v>
      </c>
      <c r="U19" s="54"/>
      <c r="V19" s="170"/>
      <c r="W19" s="54"/>
      <c r="X19" s="54">
        <f>T19</f>
        <v>1</v>
      </c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305"/>
      <c r="BH19" s="299"/>
    </row>
    <row r="20" spans="1:60" s="2" customFormat="1" ht="12.75" customHeight="1">
      <c r="A20" s="120" t="s">
        <v>98</v>
      </c>
      <c r="B20" s="53" t="s">
        <v>99</v>
      </c>
      <c r="C20" s="118" t="s">
        <v>70</v>
      </c>
      <c r="D20" s="3"/>
      <c r="E20" s="56"/>
      <c r="F20" s="54"/>
      <c r="G20" s="54"/>
      <c r="H20" s="54"/>
      <c r="I20" s="54"/>
      <c r="J20" s="54"/>
      <c r="K20" s="54"/>
      <c r="L20" s="54">
        <v>509.8</v>
      </c>
      <c r="M20" s="54"/>
      <c r="N20" s="54"/>
      <c r="O20" s="54"/>
      <c r="P20" s="54"/>
      <c r="Q20" s="54"/>
      <c r="R20" s="54"/>
      <c r="S20" s="78"/>
      <c r="T20" s="54">
        <f>L20</f>
        <v>509.8</v>
      </c>
      <c r="U20" s="54"/>
      <c r="V20" s="170"/>
      <c r="W20" s="54"/>
      <c r="X20" s="54">
        <f>T20</f>
        <v>509.8</v>
      </c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305"/>
      <c r="BH20" s="299"/>
    </row>
    <row r="21" spans="1:60" s="2" customFormat="1" ht="12.75" customHeight="1">
      <c r="A21" s="120" t="s">
        <v>100</v>
      </c>
      <c r="B21" s="53" t="s">
        <v>67</v>
      </c>
      <c r="C21" s="118" t="s">
        <v>101</v>
      </c>
      <c r="D21" s="3"/>
      <c r="E21" s="56"/>
      <c r="F21" s="54"/>
      <c r="G21" s="54"/>
      <c r="H21" s="54"/>
      <c r="I21" s="54"/>
      <c r="J21" s="54"/>
      <c r="K21" s="54"/>
      <c r="L21" s="54">
        <v>3146.63</v>
      </c>
      <c r="M21" s="54"/>
      <c r="N21" s="54"/>
      <c r="O21" s="54"/>
      <c r="P21" s="54"/>
      <c r="Q21" s="54"/>
      <c r="R21" s="54"/>
      <c r="S21" s="78"/>
      <c r="T21" s="54">
        <f>L21</f>
        <v>3146.63</v>
      </c>
      <c r="U21" s="54"/>
      <c r="V21" s="170"/>
      <c r="W21" s="54"/>
      <c r="X21" s="54"/>
      <c r="Y21" s="54">
        <f>T21</f>
        <v>3146.63</v>
      </c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305"/>
      <c r="BH21" s="299"/>
    </row>
    <row r="22" spans="1:60" s="2" customFormat="1" ht="12.75" customHeight="1">
      <c r="A22" s="120" t="s">
        <v>102</v>
      </c>
      <c r="B22" s="53" t="s">
        <v>99</v>
      </c>
      <c r="C22" s="118" t="s">
        <v>70</v>
      </c>
      <c r="D22" s="3"/>
      <c r="E22" s="56"/>
      <c r="F22" s="54"/>
      <c r="G22" s="54"/>
      <c r="H22" s="54"/>
      <c r="I22" s="54"/>
      <c r="J22" s="54"/>
      <c r="K22" s="54"/>
      <c r="L22" s="54"/>
      <c r="M22" s="54"/>
      <c r="N22" s="54">
        <v>120</v>
      </c>
      <c r="O22" s="54"/>
      <c r="P22" s="54"/>
      <c r="Q22" s="54"/>
      <c r="R22" s="54"/>
      <c r="S22" s="78"/>
      <c r="T22" s="54">
        <f>N22</f>
        <v>120</v>
      </c>
      <c r="U22" s="54"/>
      <c r="V22" s="170"/>
      <c r="W22" s="54"/>
      <c r="X22" s="54">
        <f>T22</f>
        <v>120</v>
      </c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305"/>
      <c r="BH22" s="299"/>
    </row>
    <row r="23" spans="1:60" s="2" customFormat="1" ht="12.75" customHeight="1">
      <c r="A23" s="120" t="s">
        <v>103</v>
      </c>
      <c r="B23" s="53" t="s">
        <v>104</v>
      </c>
      <c r="C23" s="118" t="s">
        <v>70</v>
      </c>
      <c r="D23" s="3"/>
      <c r="E23" s="56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>
        <v>1</v>
      </c>
      <c r="R23" s="54"/>
      <c r="S23" s="78"/>
      <c r="T23" s="54">
        <f>Q23</f>
        <v>1</v>
      </c>
      <c r="U23" s="54"/>
      <c r="V23" s="170"/>
      <c r="W23" s="54"/>
      <c r="X23" s="54">
        <v>1</v>
      </c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305"/>
      <c r="BH23" s="299"/>
    </row>
    <row r="24" spans="1:60" s="2" customFormat="1" ht="12.75" customHeight="1">
      <c r="A24" s="120" t="s">
        <v>105</v>
      </c>
      <c r="B24" s="53" t="s">
        <v>37</v>
      </c>
      <c r="C24" s="118" t="s">
        <v>29</v>
      </c>
      <c r="D24" s="3"/>
      <c r="E24" s="56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>
        <v>2822.78</v>
      </c>
      <c r="R24" s="54"/>
      <c r="S24" s="78"/>
      <c r="T24" s="54">
        <f>Q24</f>
        <v>2822.78</v>
      </c>
      <c r="U24" s="54"/>
      <c r="V24" s="170"/>
      <c r="W24" s="54">
        <f>T24</f>
        <v>2822.78</v>
      </c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305"/>
      <c r="BH24" s="299"/>
    </row>
    <row r="25" spans="1:60" s="2" customFormat="1" ht="12.75" hidden="1" customHeight="1">
      <c r="A25" s="120"/>
      <c r="B25" s="53"/>
      <c r="C25" s="118"/>
      <c r="D25" s="3"/>
      <c r="E25" s="56"/>
      <c r="F25" s="54"/>
      <c r="G25" s="54"/>
      <c r="H25" s="54"/>
      <c r="I25" s="54"/>
      <c r="J25" s="54"/>
      <c r="K25" s="54"/>
      <c r="L25" s="54"/>
      <c r="M25" s="170"/>
      <c r="N25" s="54"/>
      <c r="O25" s="142"/>
      <c r="P25" s="54"/>
      <c r="Q25" s="54"/>
      <c r="R25" s="54"/>
      <c r="S25" s="78"/>
      <c r="T25" s="54"/>
      <c r="U25" s="34"/>
      <c r="V25" s="231"/>
      <c r="W25" s="162"/>
      <c r="X25" s="76"/>
      <c r="Y25" s="76"/>
      <c r="Z25" s="76"/>
      <c r="AA25" s="76"/>
      <c r="AB25" s="75"/>
      <c r="AC25" s="222"/>
      <c r="AD25" s="219"/>
      <c r="AE25" s="219"/>
      <c r="AF25" s="219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306"/>
      <c r="BH25" s="299"/>
    </row>
    <row r="26" spans="1:60" s="2" customFormat="1" ht="12.75" hidden="1" customHeight="1">
      <c r="A26" s="52"/>
      <c r="B26" s="53"/>
      <c r="C26" s="118"/>
      <c r="D26" s="3"/>
      <c r="E26" s="56"/>
      <c r="F26" s="54"/>
      <c r="G26" s="54"/>
      <c r="H26" s="54"/>
      <c r="I26" s="54"/>
      <c r="J26" s="54"/>
      <c r="K26" s="54"/>
      <c r="L26" s="54"/>
      <c r="M26" s="170"/>
      <c r="N26" s="54"/>
      <c r="O26" s="142"/>
      <c r="P26" s="54"/>
      <c r="Q26" s="54"/>
      <c r="R26" s="54"/>
      <c r="S26" s="78"/>
      <c r="T26" s="54"/>
      <c r="U26" s="34"/>
      <c r="V26" s="231"/>
      <c r="W26" s="162"/>
      <c r="X26" s="76"/>
      <c r="Y26" s="76"/>
      <c r="Z26" s="76"/>
      <c r="AA26" s="76"/>
      <c r="AB26" s="75"/>
      <c r="AC26" s="222"/>
      <c r="AD26" s="219"/>
      <c r="AE26" s="219"/>
      <c r="AF26" s="219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306"/>
      <c r="BH26" s="299"/>
    </row>
    <row r="27" spans="1:60" s="2" customFormat="1" ht="12.75" hidden="1" customHeight="1">
      <c r="A27" s="52"/>
      <c r="B27" s="53"/>
      <c r="C27" s="118"/>
      <c r="D27" s="3"/>
      <c r="E27" s="56"/>
      <c r="F27" s="54"/>
      <c r="G27" s="54"/>
      <c r="H27" s="54"/>
      <c r="I27" s="54"/>
      <c r="J27" s="54"/>
      <c r="K27" s="54"/>
      <c r="L27" s="54"/>
      <c r="M27" s="170"/>
      <c r="N27" s="54"/>
      <c r="O27" s="142"/>
      <c r="P27" s="54"/>
      <c r="Q27" s="54"/>
      <c r="R27" s="54"/>
      <c r="S27" s="78"/>
      <c r="T27" s="54"/>
      <c r="U27" s="34"/>
      <c r="V27" s="231"/>
      <c r="W27" s="162"/>
      <c r="X27" s="76"/>
      <c r="Y27" s="76"/>
      <c r="Z27" s="76"/>
      <c r="AA27" s="76"/>
      <c r="AB27" s="75"/>
      <c r="AC27" s="222"/>
      <c r="AD27" s="219"/>
      <c r="AE27" s="219"/>
      <c r="AF27" s="219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306"/>
      <c r="BH27" s="299"/>
    </row>
    <row r="28" spans="1:60" s="2" customFormat="1" ht="12.75" hidden="1" customHeight="1">
      <c r="A28" s="52"/>
      <c r="B28" s="53"/>
      <c r="C28" s="118"/>
      <c r="D28" s="3"/>
      <c r="E28" s="56"/>
      <c r="F28" s="54"/>
      <c r="G28" s="54"/>
      <c r="H28" s="54"/>
      <c r="I28" s="54"/>
      <c r="J28" s="54"/>
      <c r="K28" s="54"/>
      <c r="L28" s="54"/>
      <c r="M28" s="170"/>
      <c r="N28" s="54"/>
      <c r="O28" s="142"/>
      <c r="P28" s="54"/>
      <c r="Q28" s="54"/>
      <c r="R28" s="54"/>
      <c r="S28" s="78"/>
      <c r="T28" s="54"/>
      <c r="U28" s="34"/>
      <c r="V28" s="231"/>
      <c r="W28" s="162"/>
      <c r="X28" s="76"/>
      <c r="Y28" s="76"/>
      <c r="Z28" s="76"/>
      <c r="AA28" s="76"/>
      <c r="AB28" s="75"/>
      <c r="AC28" s="222"/>
      <c r="AD28" s="219"/>
      <c r="AE28" s="219"/>
      <c r="AF28" s="219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306"/>
      <c r="BH28" s="299"/>
    </row>
    <row r="29" spans="1:60" s="2" customFormat="1" ht="12.75" hidden="1" customHeight="1">
      <c r="A29" s="52"/>
      <c r="B29" s="53"/>
      <c r="C29" s="118"/>
      <c r="D29" s="3"/>
      <c r="E29" s="56"/>
      <c r="F29" s="54"/>
      <c r="G29" s="54"/>
      <c r="H29" s="54"/>
      <c r="I29" s="54"/>
      <c r="J29" s="54"/>
      <c r="K29" s="54"/>
      <c r="L29" s="54"/>
      <c r="M29" s="170"/>
      <c r="N29" s="54"/>
      <c r="O29" s="142"/>
      <c r="P29" s="54"/>
      <c r="Q29" s="54"/>
      <c r="R29" s="54"/>
      <c r="S29" s="78"/>
      <c r="T29" s="54"/>
      <c r="U29" s="34"/>
      <c r="V29" s="231"/>
      <c r="W29" s="162"/>
      <c r="X29" s="76"/>
      <c r="Y29" s="75"/>
      <c r="Z29" s="76"/>
      <c r="AA29" s="76"/>
      <c r="AC29" s="222"/>
      <c r="AD29" s="219"/>
      <c r="AE29" s="219"/>
      <c r="AF29" s="219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306"/>
      <c r="BH29" s="299"/>
    </row>
    <row r="30" spans="1:60" s="2" customFormat="1" ht="12.75" hidden="1" customHeight="1">
      <c r="A30" s="52"/>
      <c r="B30" s="53"/>
      <c r="C30" s="118"/>
      <c r="D30" s="3"/>
      <c r="E30" s="56"/>
      <c r="F30" s="54"/>
      <c r="G30" s="54"/>
      <c r="H30" s="54"/>
      <c r="I30" s="54"/>
      <c r="J30" s="54"/>
      <c r="K30" s="54"/>
      <c r="L30" s="54"/>
      <c r="M30" s="170"/>
      <c r="N30" s="54"/>
      <c r="O30" s="142"/>
      <c r="P30" s="54"/>
      <c r="Q30" s="54"/>
      <c r="R30" s="54"/>
      <c r="S30" s="78"/>
      <c r="T30" s="54"/>
      <c r="U30" s="34"/>
      <c r="V30" s="231"/>
      <c r="W30" s="162"/>
      <c r="X30" s="76"/>
      <c r="Y30" s="76"/>
      <c r="Z30" s="76"/>
      <c r="AA30" s="76"/>
      <c r="AB30" s="75"/>
      <c r="AC30" s="221"/>
      <c r="AD30" s="219"/>
      <c r="AE30" s="219"/>
      <c r="AF30" s="219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306"/>
      <c r="BH30" s="299"/>
    </row>
    <row r="31" spans="1:60" s="2" customFormat="1" ht="12.75" hidden="1" customHeight="1">
      <c r="A31" s="52"/>
      <c r="B31" s="53"/>
      <c r="C31" s="118"/>
      <c r="D31" s="3"/>
      <c r="E31" s="56"/>
      <c r="F31" s="54"/>
      <c r="G31" s="54"/>
      <c r="H31" s="54"/>
      <c r="I31" s="54"/>
      <c r="J31" s="54"/>
      <c r="K31" s="54"/>
      <c r="L31" s="54"/>
      <c r="M31" s="170"/>
      <c r="N31" s="54"/>
      <c r="O31" s="142"/>
      <c r="P31" s="54"/>
      <c r="Q31" s="54"/>
      <c r="R31" s="54"/>
      <c r="S31" s="78"/>
      <c r="T31" s="54"/>
      <c r="U31" s="34"/>
      <c r="V31" s="231"/>
      <c r="W31" s="162"/>
      <c r="X31" s="76"/>
      <c r="Y31" s="76"/>
      <c r="Z31" s="76"/>
      <c r="AA31" s="76"/>
      <c r="AB31" s="75"/>
      <c r="AC31" s="221"/>
      <c r="AD31" s="219"/>
      <c r="AE31" s="219"/>
      <c r="AF31" s="219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306"/>
      <c r="BH31" s="299"/>
    </row>
    <row r="32" spans="1:60" s="2" customFormat="1" ht="12.75" hidden="1" customHeight="1">
      <c r="A32" s="52"/>
      <c r="B32" s="53"/>
      <c r="C32" s="118"/>
      <c r="D32" s="3"/>
      <c r="E32" s="56"/>
      <c r="F32" s="54"/>
      <c r="G32" s="54"/>
      <c r="H32" s="54"/>
      <c r="I32" s="54"/>
      <c r="J32" s="54"/>
      <c r="K32" s="54"/>
      <c r="L32" s="54"/>
      <c r="M32" s="170"/>
      <c r="N32" s="54"/>
      <c r="O32" s="142"/>
      <c r="P32" s="54"/>
      <c r="Q32" s="54"/>
      <c r="R32" s="54"/>
      <c r="S32" s="78"/>
      <c r="T32" s="54"/>
      <c r="U32" s="34"/>
      <c r="V32" s="231"/>
      <c r="W32" s="162"/>
      <c r="X32" s="76"/>
      <c r="Y32" s="76"/>
      <c r="Z32" s="76"/>
      <c r="AA32" s="76"/>
      <c r="AB32" s="75"/>
      <c r="AC32" s="221"/>
      <c r="AD32" s="219"/>
      <c r="AE32" s="219"/>
      <c r="AF32" s="219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306"/>
      <c r="BH32" s="299"/>
    </row>
    <row r="33" spans="1:60" s="2" customFormat="1" ht="12.75" hidden="1" customHeight="1">
      <c r="A33" s="52"/>
      <c r="B33" s="53"/>
      <c r="C33" s="118"/>
      <c r="D33" s="3"/>
      <c r="E33" s="56"/>
      <c r="F33" s="54"/>
      <c r="G33" s="54"/>
      <c r="H33" s="54"/>
      <c r="I33" s="54"/>
      <c r="J33" s="54"/>
      <c r="K33" s="54"/>
      <c r="L33" s="54"/>
      <c r="M33" s="170"/>
      <c r="N33" s="54"/>
      <c r="O33" s="142"/>
      <c r="P33" s="54"/>
      <c r="Q33" s="54"/>
      <c r="R33" s="54"/>
      <c r="S33" s="78"/>
      <c r="T33" s="54"/>
      <c r="U33" s="34"/>
      <c r="V33" s="231"/>
      <c r="W33" s="162"/>
      <c r="X33" s="76"/>
      <c r="Y33" s="76"/>
      <c r="Z33" s="76"/>
      <c r="AA33" s="76"/>
      <c r="AB33" s="75"/>
      <c r="AC33" s="221"/>
      <c r="AD33" s="219"/>
      <c r="AE33" s="219"/>
      <c r="AF33" s="219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306"/>
      <c r="BH33" s="299"/>
    </row>
    <row r="34" spans="1:60" s="2" customFormat="1" ht="12.75" hidden="1" customHeight="1">
      <c r="A34" s="52"/>
      <c r="B34" s="53"/>
      <c r="C34" s="118"/>
      <c r="D34" s="3"/>
      <c r="E34" s="56"/>
      <c r="F34" s="54"/>
      <c r="G34" s="54"/>
      <c r="H34" s="54"/>
      <c r="I34" s="54"/>
      <c r="J34" s="54"/>
      <c r="K34" s="54"/>
      <c r="L34" s="54"/>
      <c r="M34" s="170"/>
      <c r="N34" s="54"/>
      <c r="O34" s="142"/>
      <c r="P34" s="54"/>
      <c r="Q34" s="54"/>
      <c r="R34" s="54"/>
      <c r="S34" s="78"/>
      <c r="T34" s="54"/>
      <c r="U34" s="34"/>
      <c r="V34" s="231"/>
      <c r="W34" s="162"/>
      <c r="X34" s="76"/>
      <c r="Y34" s="76"/>
      <c r="Z34" s="76"/>
      <c r="AA34" s="76"/>
      <c r="AB34" s="75"/>
      <c r="AC34" s="221"/>
      <c r="AD34" s="219"/>
      <c r="AE34" s="219"/>
      <c r="AF34" s="219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306"/>
      <c r="BH34" s="299"/>
    </row>
    <row r="35" spans="1:60" s="2" customFormat="1" ht="12.75" hidden="1" customHeight="1">
      <c r="A35" s="52"/>
      <c r="B35" s="53"/>
      <c r="C35" s="118"/>
      <c r="D35" s="3"/>
      <c r="E35" s="56"/>
      <c r="F35" s="54"/>
      <c r="G35" s="54"/>
      <c r="H35" s="54"/>
      <c r="I35" s="54"/>
      <c r="J35" s="54"/>
      <c r="K35" s="54"/>
      <c r="L35" s="54"/>
      <c r="M35" s="170"/>
      <c r="N35" s="54"/>
      <c r="O35" s="142"/>
      <c r="P35" s="54"/>
      <c r="Q35" s="54"/>
      <c r="R35" s="54"/>
      <c r="S35" s="78"/>
      <c r="T35" s="54"/>
      <c r="U35" s="34"/>
      <c r="V35" s="231"/>
      <c r="W35" s="162"/>
      <c r="X35" s="76"/>
      <c r="Y35" s="76"/>
      <c r="Z35" s="76"/>
      <c r="AA35" s="76"/>
      <c r="AB35" s="75"/>
      <c r="AC35" s="221"/>
      <c r="AD35" s="219"/>
      <c r="AE35" s="219"/>
      <c r="AF35" s="219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306"/>
      <c r="BH35" s="299"/>
    </row>
    <row r="36" spans="1:60" s="2" customFormat="1" ht="12.75" hidden="1" customHeight="1">
      <c r="A36" s="52"/>
      <c r="B36" s="53"/>
      <c r="C36" s="118"/>
      <c r="D36" s="3"/>
      <c r="E36" s="56"/>
      <c r="F36" s="54"/>
      <c r="G36" s="54"/>
      <c r="H36" s="54"/>
      <c r="I36" s="54"/>
      <c r="J36" s="54"/>
      <c r="K36" s="54"/>
      <c r="L36" s="54"/>
      <c r="M36" s="170"/>
      <c r="N36" s="54"/>
      <c r="O36" s="142"/>
      <c r="P36" s="54"/>
      <c r="Q36" s="54"/>
      <c r="R36" s="54"/>
      <c r="S36" s="78"/>
      <c r="T36" s="54"/>
      <c r="U36" s="34"/>
      <c r="V36" s="231"/>
      <c r="W36" s="162"/>
      <c r="X36" s="76"/>
      <c r="Y36" s="76"/>
      <c r="Z36" s="76"/>
      <c r="AA36" s="76"/>
      <c r="AB36" s="75"/>
      <c r="AC36" s="221"/>
      <c r="AD36" s="219"/>
      <c r="AE36" s="219"/>
      <c r="AF36" s="219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306"/>
      <c r="BH36" s="299"/>
    </row>
    <row r="37" spans="1:60" s="2" customFormat="1" ht="12.75" hidden="1" customHeight="1">
      <c r="A37" s="52"/>
      <c r="B37" s="53"/>
      <c r="C37" s="118"/>
      <c r="D37" s="3"/>
      <c r="E37" s="56"/>
      <c r="F37" s="54"/>
      <c r="G37" s="54"/>
      <c r="H37" s="54"/>
      <c r="I37" s="54"/>
      <c r="J37" s="54"/>
      <c r="K37" s="54"/>
      <c r="L37" s="54"/>
      <c r="M37" s="170"/>
      <c r="N37" s="54"/>
      <c r="O37" s="142"/>
      <c r="P37" s="54"/>
      <c r="Q37" s="54"/>
      <c r="R37" s="54"/>
      <c r="S37" s="78"/>
      <c r="T37" s="54"/>
      <c r="U37" s="34"/>
      <c r="V37" s="231"/>
      <c r="W37" s="162"/>
      <c r="X37" s="76"/>
      <c r="Y37" s="76"/>
      <c r="Z37" s="76"/>
      <c r="AA37" s="76"/>
      <c r="AB37" s="75"/>
      <c r="AC37" s="221"/>
      <c r="AD37" s="219"/>
      <c r="AE37" s="219"/>
      <c r="AF37" s="219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306"/>
      <c r="BH37" s="299"/>
    </row>
    <row r="38" spans="1:60" s="2" customFormat="1" ht="12.75" hidden="1" customHeight="1">
      <c r="A38" s="52"/>
      <c r="B38" s="53"/>
      <c r="C38" s="118"/>
      <c r="D38" s="3"/>
      <c r="E38" s="56"/>
      <c r="F38" s="54"/>
      <c r="G38" s="54"/>
      <c r="H38" s="54"/>
      <c r="I38" s="54"/>
      <c r="J38" s="54"/>
      <c r="K38" s="54"/>
      <c r="L38" s="54"/>
      <c r="M38" s="170"/>
      <c r="N38" s="54"/>
      <c r="O38" s="142"/>
      <c r="P38" s="54"/>
      <c r="Q38" s="54"/>
      <c r="R38" s="54"/>
      <c r="S38" s="78"/>
      <c r="T38" s="54"/>
      <c r="U38" s="34"/>
      <c r="V38" s="231"/>
      <c r="W38" s="162"/>
      <c r="X38" s="76"/>
      <c r="Y38" s="76"/>
      <c r="Z38" s="76"/>
      <c r="AA38" s="76"/>
      <c r="AB38" s="75"/>
      <c r="AC38" s="221"/>
      <c r="AD38" s="219"/>
      <c r="AE38" s="219"/>
      <c r="AF38" s="219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306"/>
      <c r="BH38" s="299"/>
    </row>
    <row r="39" spans="1:60" s="2" customFormat="1" ht="12.75" hidden="1" customHeight="1">
      <c r="A39" s="52"/>
      <c r="B39" s="53"/>
      <c r="C39" s="118"/>
      <c r="D39" s="3"/>
      <c r="E39" s="56"/>
      <c r="F39" s="54"/>
      <c r="G39" s="54"/>
      <c r="H39" s="54"/>
      <c r="I39" s="54"/>
      <c r="J39" s="54"/>
      <c r="K39" s="54"/>
      <c r="L39" s="54"/>
      <c r="M39" s="170"/>
      <c r="N39" s="54"/>
      <c r="O39" s="142"/>
      <c r="P39" s="54"/>
      <c r="Q39" s="54"/>
      <c r="R39" s="54"/>
      <c r="S39" s="78"/>
      <c r="T39" s="54"/>
      <c r="U39" s="34"/>
      <c r="V39" s="231"/>
      <c r="W39" s="162"/>
      <c r="X39" s="76"/>
      <c r="Y39" s="76"/>
      <c r="Z39" s="76"/>
      <c r="AA39" s="76"/>
      <c r="AB39" s="75"/>
      <c r="AC39" s="221"/>
      <c r="AD39" s="219"/>
      <c r="AE39" s="219"/>
      <c r="AF39" s="219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306"/>
      <c r="BH39" s="299"/>
    </row>
    <row r="40" spans="1:60" s="2" customFormat="1" ht="12.75" hidden="1" customHeight="1">
      <c r="A40" s="52"/>
      <c r="B40" s="53"/>
      <c r="C40" s="118"/>
      <c r="D40" s="3"/>
      <c r="E40" s="56"/>
      <c r="F40" s="54"/>
      <c r="G40" s="54"/>
      <c r="H40" s="54"/>
      <c r="I40" s="54"/>
      <c r="J40" s="54"/>
      <c r="K40" s="54"/>
      <c r="L40" s="54"/>
      <c r="M40" s="54"/>
      <c r="N40" s="54"/>
      <c r="O40" s="142"/>
      <c r="P40" s="54"/>
      <c r="Q40" s="54"/>
      <c r="R40" s="54"/>
      <c r="S40" s="78"/>
      <c r="T40" s="54"/>
      <c r="U40" s="34"/>
      <c r="V40" s="231"/>
      <c r="W40" s="162"/>
      <c r="X40" s="76"/>
      <c r="Y40" s="76"/>
      <c r="Z40" s="76"/>
      <c r="AA40" s="76"/>
      <c r="AB40" s="75"/>
      <c r="AC40" s="222"/>
      <c r="AD40" s="219"/>
      <c r="AE40" s="219"/>
      <c r="AF40" s="219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306"/>
      <c r="BH40" s="299"/>
    </row>
    <row r="41" spans="1:60" s="2" customFormat="1" ht="12.75" hidden="1" customHeight="1">
      <c r="A41" s="52"/>
      <c r="B41" s="53"/>
      <c r="C41" s="118"/>
      <c r="D41" s="3"/>
      <c r="E41" s="56"/>
      <c r="F41" s="54"/>
      <c r="G41" s="54"/>
      <c r="H41" s="54"/>
      <c r="I41" s="54"/>
      <c r="J41" s="54"/>
      <c r="K41" s="54"/>
      <c r="L41" s="54"/>
      <c r="M41" s="54"/>
      <c r="N41" s="54"/>
      <c r="O41" s="142"/>
      <c r="P41" s="54"/>
      <c r="Q41" s="54"/>
      <c r="R41" s="54"/>
      <c r="S41" s="78"/>
      <c r="T41" s="54"/>
      <c r="U41" s="34"/>
      <c r="V41" s="231"/>
      <c r="W41" s="162"/>
      <c r="X41" s="76"/>
      <c r="Y41" s="76"/>
      <c r="Z41" s="76"/>
      <c r="AA41" s="76"/>
      <c r="AB41" s="51"/>
      <c r="AC41" s="222"/>
      <c r="AD41" s="220"/>
      <c r="AE41" s="220"/>
      <c r="AF41" s="220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306"/>
      <c r="BH41" s="299"/>
    </row>
    <row r="42" spans="1:60" s="2" customFormat="1" ht="12.75" hidden="1" customHeight="1">
      <c r="A42" s="52"/>
      <c r="B42" s="53"/>
      <c r="C42" s="118"/>
      <c r="D42" s="3"/>
      <c r="E42" s="56"/>
      <c r="F42" s="54"/>
      <c r="G42" s="54"/>
      <c r="H42" s="54"/>
      <c r="I42" s="54"/>
      <c r="J42" s="54"/>
      <c r="K42" s="54"/>
      <c r="L42" s="54"/>
      <c r="M42" s="54"/>
      <c r="N42" s="54"/>
      <c r="O42" s="142"/>
      <c r="P42" s="54"/>
      <c r="Q42" s="54"/>
      <c r="R42" s="54"/>
      <c r="S42" s="78"/>
      <c r="T42" s="54"/>
      <c r="U42" s="34"/>
      <c r="V42" s="231"/>
      <c r="W42" s="162"/>
      <c r="X42" s="76"/>
      <c r="Y42" s="76"/>
      <c r="Z42" s="76"/>
      <c r="AA42" s="76"/>
      <c r="AB42" s="51"/>
      <c r="AC42" s="222"/>
      <c r="AD42" s="219"/>
      <c r="AE42" s="219"/>
      <c r="AF42" s="219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306"/>
      <c r="BH42" s="299"/>
    </row>
    <row r="43" spans="1:60" s="2" customFormat="1" hidden="1">
      <c r="A43" s="52"/>
      <c r="B43" s="53"/>
      <c r="C43" s="118"/>
      <c r="D43" s="3"/>
      <c r="E43" s="56"/>
      <c r="F43" s="54"/>
      <c r="G43" s="54"/>
      <c r="H43" s="54"/>
      <c r="I43" s="54"/>
      <c r="J43" s="54"/>
      <c r="K43" s="54"/>
      <c r="L43" s="54"/>
      <c r="M43" s="54"/>
      <c r="N43" s="54"/>
      <c r="O43" s="142"/>
      <c r="P43" s="54"/>
      <c r="Q43" s="54"/>
      <c r="R43" s="54"/>
      <c r="S43" s="78"/>
      <c r="T43" s="54"/>
      <c r="U43" s="34"/>
      <c r="V43" s="231"/>
      <c r="W43" s="162"/>
      <c r="X43" s="76"/>
      <c r="Y43" s="76"/>
      <c r="Z43" s="76"/>
      <c r="AA43" s="76"/>
      <c r="AB43" s="51"/>
      <c r="AC43" s="222"/>
      <c r="AD43" s="219"/>
      <c r="AE43" s="219"/>
      <c r="AF43" s="219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306"/>
      <c r="BH43" s="299"/>
    </row>
    <row r="44" spans="1:60" s="2" customFormat="1" hidden="1">
      <c r="A44" s="52"/>
      <c r="B44" s="53"/>
      <c r="C44" s="118"/>
      <c r="D44" s="3"/>
      <c r="E44" s="56"/>
      <c r="F44" s="54"/>
      <c r="G44" s="54"/>
      <c r="H44" s="54"/>
      <c r="I44" s="54"/>
      <c r="J44" s="54"/>
      <c r="K44" s="54"/>
      <c r="L44" s="54"/>
      <c r="M44" s="54"/>
      <c r="N44" s="54"/>
      <c r="O44" s="142"/>
      <c r="P44" s="54"/>
      <c r="Q44" s="54"/>
      <c r="R44" s="54"/>
      <c r="S44" s="78"/>
      <c r="T44" s="54"/>
      <c r="U44" s="34"/>
      <c r="V44" s="231"/>
      <c r="W44" s="162"/>
      <c r="X44" s="76"/>
      <c r="Y44" s="76"/>
      <c r="Z44" s="76"/>
      <c r="AA44" s="76"/>
      <c r="AB44" s="51"/>
      <c r="AC44" s="222"/>
      <c r="AD44" s="219"/>
      <c r="AE44" s="219"/>
      <c r="AF44" s="219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306"/>
      <c r="BH44" s="299"/>
    </row>
    <row r="45" spans="1:60" s="2" customFormat="1" hidden="1">
      <c r="A45" s="52"/>
      <c r="B45" s="53"/>
      <c r="C45" s="118"/>
      <c r="D45" s="3"/>
      <c r="E45" s="56"/>
      <c r="F45" s="54"/>
      <c r="G45" s="54"/>
      <c r="H45" s="54"/>
      <c r="I45" s="54"/>
      <c r="J45" s="54"/>
      <c r="K45" s="54"/>
      <c r="L45" s="54"/>
      <c r="M45" s="54"/>
      <c r="N45" s="54"/>
      <c r="O45" s="223"/>
      <c r="P45" s="54"/>
      <c r="Q45" s="54"/>
      <c r="R45" s="54"/>
      <c r="S45" s="78"/>
      <c r="T45" s="54"/>
      <c r="U45" s="34"/>
      <c r="V45" s="231"/>
      <c r="W45" s="162"/>
      <c r="X45" s="76"/>
      <c r="Y45" s="76"/>
      <c r="Z45" s="76"/>
      <c r="AA45" s="76"/>
      <c r="AB45" s="51"/>
      <c r="AC45" s="222"/>
      <c r="AD45" s="219"/>
      <c r="AE45" s="219"/>
      <c r="AF45" s="219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306"/>
      <c r="BH45" s="299"/>
    </row>
    <row r="46" spans="1:60" s="2" customFormat="1" hidden="1">
      <c r="A46" s="52"/>
      <c r="B46" s="53"/>
      <c r="C46" s="118"/>
      <c r="D46" s="3"/>
      <c r="E46" s="56"/>
      <c r="F46" s="54"/>
      <c r="G46" s="54"/>
      <c r="H46" s="54"/>
      <c r="I46" s="54"/>
      <c r="J46" s="54"/>
      <c r="K46" s="54"/>
      <c r="L46" s="54"/>
      <c r="M46" s="54"/>
      <c r="N46" s="54"/>
      <c r="O46" s="223"/>
      <c r="P46" s="54"/>
      <c r="Q46" s="54"/>
      <c r="R46" s="54"/>
      <c r="S46" s="78"/>
      <c r="T46" s="54"/>
      <c r="U46" s="34"/>
      <c r="V46" s="231"/>
      <c r="W46" s="162"/>
      <c r="X46" s="76"/>
      <c r="Y46" s="76"/>
      <c r="Z46" s="76"/>
      <c r="AA46" s="76"/>
      <c r="AB46" s="51"/>
      <c r="AC46" s="222"/>
      <c r="AD46" s="219"/>
      <c r="AE46" s="219"/>
      <c r="AF46" s="219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306"/>
      <c r="BH46" s="299"/>
    </row>
    <row r="47" spans="1:60" s="2" customFormat="1" hidden="1">
      <c r="A47" s="52"/>
      <c r="B47" s="53"/>
      <c r="C47" s="118"/>
      <c r="D47" s="3"/>
      <c r="E47" s="56"/>
      <c r="F47" s="54"/>
      <c r="G47" s="54"/>
      <c r="H47" s="54"/>
      <c r="I47" s="54"/>
      <c r="J47" s="54"/>
      <c r="K47" s="54"/>
      <c r="L47" s="54"/>
      <c r="M47" s="54"/>
      <c r="N47" s="54"/>
      <c r="O47" s="223"/>
      <c r="P47" s="54"/>
      <c r="Q47" s="54"/>
      <c r="R47" s="54"/>
      <c r="S47" s="78"/>
      <c r="T47" s="54"/>
      <c r="U47" s="34"/>
      <c r="V47" s="231"/>
      <c r="W47" s="162"/>
      <c r="X47" s="76"/>
      <c r="Y47" s="76"/>
      <c r="Z47" s="76"/>
      <c r="AA47" s="76"/>
      <c r="AB47" s="51"/>
      <c r="AC47" s="222"/>
      <c r="AD47" s="219"/>
      <c r="AE47" s="219"/>
      <c r="AF47" s="219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306"/>
      <c r="BH47" s="299"/>
    </row>
    <row r="48" spans="1:60" s="2" customFormat="1" hidden="1">
      <c r="A48" s="52"/>
      <c r="B48" s="53"/>
      <c r="C48" s="118"/>
      <c r="D48" s="3"/>
      <c r="E48" s="56"/>
      <c r="F48" s="54"/>
      <c r="G48" s="54"/>
      <c r="H48" s="54"/>
      <c r="I48" s="54"/>
      <c r="J48" s="54"/>
      <c r="K48" s="54"/>
      <c r="L48" s="54"/>
      <c r="M48" s="54"/>
      <c r="N48" s="54"/>
      <c r="O48" s="223"/>
      <c r="P48" s="54"/>
      <c r="Q48" s="54"/>
      <c r="R48" s="54"/>
      <c r="S48" s="78"/>
      <c r="T48" s="54"/>
      <c r="U48" s="34"/>
      <c r="V48" s="231"/>
      <c r="W48" s="162"/>
      <c r="X48" s="76"/>
      <c r="Y48" s="76"/>
      <c r="Z48" s="76"/>
      <c r="AA48" s="76"/>
      <c r="AB48" s="51"/>
      <c r="AC48" s="222"/>
      <c r="AD48" s="219"/>
      <c r="AE48" s="219"/>
      <c r="AF48" s="219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306"/>
      <c r="BH48" s="299"/>
    </row>
    <row r="49" spans="1:60" s="2" customFormat="1" hidden="1">
      <c r="A49" s="52"/>
      <c r="B49" s="53"/>
      <c r="C49" s="118"/>
      <c r="D49" s="3"/>
      <c r="E49" s="56"/>
      <c r="F49" s="54"/>
      <c r="G49" s="54"/>
      <c r="H49" s="54"/>
      <c r="I49" s="54"/>
      <c r="J49" s="54"/>
      <c r="K49" s="54"/>
      <c r="L49" s="54"/>
      <c r="M49" s="54"/>
      <c r="N49" s="54"/>
      <c r="P49" s="142"/>
      <c r="Q49" s="54"/>
      <c r="R49" s="54"/>
      <c r="S49" s="78"/>
      <c r="T49" s="54"/>
      <c r="U49" s="34"/>
      <c r="V49" s="231"/>
      <c r="W49" s="162"/>
      <c r="X49" s="76"/>
      <c r="Y49" s="76"/>
      <c r="Z49" s="76"/>
      <c r="AA49" s="76"/>
      <c r="AB49" s="51"/>
      <c r="AC49" s="222"/>
      <c r="AD49" s="219"/>
      <c r="AE49" s="219"/>
      <c r="AF49" s="219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306"/>
      <c r="BH49" s="299"/>
    </row>
    <row r="50" spans="1:60" s="2" customFormat="1" hidden="1">
      <c r="A50" s="52"/>
      <c r="B50" s="53"/>
      <c r="C50" s="118"/>
      <c r="D50" s="3"/>
      <c r="E50" s="56"/>
      <c r="F50" s="54"/>
      <c r="G50" s="54"/>
      <c r="H50" s="54"/>
      <c r="I50" s="54"/>
      <c r="J50" s="54"/>
      <c r="K50" s="54"/>
      <c r="L50" s="54"/>
      <c r="M50" s="54"/>
      <c r="N50" s="54"/>
      <c r="O50" s="142"/>
      <c r="P50" s="54"/>
      <c r="Q50" s="54"/>
      <c r="R50" s="54"/>
      <c r="S50" s="78"/>
      <c r="T50" s="54"/>
      <c r="U50" s="34"/>
      <c r="V50" s="231"/>
      <c r="W50" s="162"/>
      <c r="X50" s="76"/>
      <c r="Y50" s="76"/>
      <c r="Z50" s="76"/>
      <c r="AA50" s="76"/>
      <c r="AB50" s="51"/>
      <c r="AC50" s="222"/>
      <c r="AD50" s="219"/>
      <c r="AE50" s="219"/>
      <c r="AF50" s="219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306"/>
      <c r="BH50" s="299"/>
    </row>
    <row r="51" spans="1:60" s="2" customFormat="1" hidden="1">
      <c r="A51" s="52"/>
      <c r="B51" s="53"/>
      <c r="C51" s="118"/>
      <c r="D51" s="3"/>
      <c r="E51" s="56"/>
      <c r="F51" s="54"/>
      <c r="G51" s="54"/>
      <c r="H51" s="54"/>
      <c r="I51" s="54"/>
      <c r="J51" s="54"/>
      <c r="K51" s="54"/>
      <c r="L51" s="54"/>
      <c r="M51" s="54"/>
      <c r="N51" s="54"/>
      <c r="O51" s="142"/>
      <c r="P51" s="54"/>
      <c r="Q51" s="54"/>
      <c r="R51" s="54"/>
      <c r="S51" s="78"/>
      <c r="T51" s="54"/>
      <c r="U51" s="34"/>
      <c r="V51" s="231"/>
      <c r="W51" s="162"/>
      <c r="X51" s="76"/>
      <c r="Y51" s="76"/>
      <c r="Z51" s="76"/>
      <c r="AA51" s="76"/>
      <c r="AB51" s="51"/>
      <c r="AC51" s="222"/>
      <c r="AD51" s="219"/>
      <c r="AE51" s="219"/>
      <c r="AF51" s="219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306"/>
      <c r="BH51" s="299"/>
    </row>
    <row r="52" spans="1:60" s="2" customFormat="1" hidden="1">
      <c r="A52" s="52"/>
      <c r="B52" s="53"/>
      <c r="C52" s="118"/>
      <c r="D52" s="3"/>
      <c r="E52" s="56"/>
      <c r="F52" s="54"/>
      <c r="G52" s="54"/>
      <c r="H52" s="54"/>
      <c r="I52" s="54"/>
      <c r="J52" s="54"/>
      <c r="K52" s="54"/>
      <c r="L52" s="54"/>
      <c r="M52" s="54"/>
      <c r="N52" s="54"/>
      <c r="O52" s="142"/>
      <c r="P52" s="54"/>
      <c r="Q52" s="54"/>
      <c r="R52" s="54"/>
      <c r="S52" s="78"/>
      <c r="T52" s="54"/>
      <c r="U52" s="34"/>
      <c r="V52" s="231"/>
      <c r="W52" s="162"/>
      <c r="X52" s="76"/>
      <c r="Y52" s="76"/>
      <c r="Z52" s="76"/>
      <c r="AA52" s="76"/>
      <c r="AB52" s="51"/>
      <c r="AC52" s="222"/>
      <c r="AD52" s="219"/>
      <c r="AE52" s="219"/>
      <c r="AF52" s="219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306"/>
      <c r="BH52" s="299"/>
    </row>
    <row r="53" spans="1:60" s="2" customFormat="1" hidden="1">
      <c r="A53" s="52"/>
      <c r="B53" s="53"/>
      <c r="C53" s="118"/>
      <c r="D53" s="3"/>
      <c r="E53" s="56"/>
      <c r="F53" s="54"/>
      <c r="G53" s="54"/>
      <c r="H53" s="54"/>
      <c r="I53" s="54"/>
      <c r="J53" s="54"/>
      <c r="K53" s="54"/>
      <c r="L53" s="54"/>
      <c r="M53" s="54"/>
      <c r="N53" s="54"/>
      <c r="O53" s="142"/>
      <c r="P53" s="54"/>
      <c r="Q53" s="54"/>
      <c r="R53" s="54"/>
      <c r="S53" s="78"/>
      <c r="T53" s="54"/>
      <c r="U53" s="34"/>
      <c r="V53" s="231"/>
      <c r="W53" s="162"/>
      <c r="X53" s="76"/>
      <c r="Y53" s="76"/>
      <c r="Z53" s="76"/>
      <c r="AA53" s="76"/>
      <c r="AB53" s="51"/>
      <c r="AC53" s="222"/>
      <c r="AD53" s="219"/>
      <c r="AE53" s="219"/>
      <c r="AF53" s="219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306"/>
      <c r="BH53" s="299"/>
    </row>
    <row r="54" spans="1:60" s="2" customFormat="1" hidden="1">
      <c r="A54" s="52"/>
      <c r="B54" s="53"/>
      <c r="C54" s="118"/>
      <c r="D54" s="3"/>
      <c r="E54" s="56"/>
      <c r="F54" s="54"/>
      <c r="G54" s="54"/>
      <c r="H54" s="54"/>
      <c r="I54" s="54"/>
      <c r="J54" s="54"/>
      <c r="K54" s="54"/>
      <c r="L54" s="54"/>
      <c r="M54" s="54"/>
      <c r="N54" s="54"/>
      <c r="O54" s="142"/>
      <c r="P54" s="54"/>
      <c r="Q54" s="54"/>
      <c r="R54" s="54"/>
      <c r="S54" s="78"/>
      <c r="T54" s="54"/>
      <c r="U54" s="34"/>
      <c r="V54" s="231"/>
      <c r="W54" s="162"/>
      <c r="X54" s="76"/>
      <c r="Y54" s="76"/>
      <c r="Z54" s="76"/>
      <c r="AA54" s="76"/>
      <c r="AB54" s="51"/>
      <c r="AC54" s="222"/>
      <c r="AD54" s="219"/>
      <c r="AE54" s="219"/>
      <c r="AF54" s="219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306"/>
      <c r="BH54" s="299"/>
    </row>
    <row r="55" spans="1:60" s="2" customFormat="1" hidden="1">
      <c r="A55" s="52"/>
      <c r="B55" s="53"/>
      <c r="C55" s="118"/>
      <c r="D55" s="3"/>
      <c r="E55" s="56"/>
      <c r="F55" s="54"/>
      <c r="G55" s="54"/>
      <c r="H55" s="54"/>
      <c r="I55" s="54"/>
      <c r="J55" s="54"/>
      <c r="K55" s="54"/>
      <c r="L55" s="54"/>
      <c r="M55" s="54"/>
      <c r="N55" s="54"/>
      <c r="O55" s="142"/>
      <c r="P55" s="54"/>
      <c r="Q55" s="54"/>
      <c r="R55" s="54"/>
      <c r="S55" s="78"/>
      <c r="T55" s="54"/>
      <c r="U55" s="34"/>
      <c r="V55" s="231"/>
      <c r="W55" s="162"/>
      <c r="X55" s="76"/>
      <c r="Y55" s="76"/>
      <c r="Z55" s="76"/>
      <c r="AA55" s="76"/>
      <c r="AB55" s="51"/>
      <c r="AC55" s="222"/>
      <c r="AD55" s="219"/>
      <c r="AE55" s="219"/>
      <c r="AF55" s="219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306"/>
      <c r="BH55" s="299"/>
    </row>
    <row r="56" spans="1:60" s="2" customFormat="1" hidden="1">
      <c r="A56" s="52"/>
      <c r="B56" s="53"/>
      <c r="C56" s="118"/>
      <c r="D56" s="3"/>
      <c r="E56" s="56"/>
      <c r="F56" s="54"/>
      <c r="G56" s="54"/>
      <c r="H56" s="54"/>
      <c r="I56" s="54"/>
      <c r="J56" s="54"/>
      <c r="K56" s="54"/>
      <c r="L56" s="54"/>
      <c r="M56" s="54"/>
      <c r="N56" s="54"/>
      <c r="O56" s="142"/>
      <c r="P56" s="54"/>
      <c r="Q56" s="54"/>
      <c r="R56" s="54"/>
      <c r="S56" s="78"/>
      <c r="T56" s="54"/>
      <c r="U56" s="34"/>
      <c r="V56" s="231"/>
      <c r="W56" s="162"/>
      <c r="X56" s="76"/>
      <c r="Y56" s="76"/>
      <c r="Z56" s="76"/>
      <c r="AA56" s="76"/>
      <c r="AB56" s="51"/>
      <c r="AC56" s="222"/>
      <c r="AD56" s="219"/>
      <c r="AE56" s="219"/>
      <c r="AF56" s="219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306"/>
      <c r="BH56" s="299"/>
    </row>
    <row r="57" spans="1:60" s="2" customFormat="1" hidden="1">
      <c r="A57" s="52"/>
      <c r="B57" s="53"/>
      <c r="C57" s="118"/>
      <c r="D57" s="3"/>
      <c r="E57" s="56"/>
      <c r="F57" s="54"/>
      <c r="G57" s="54"/>
      <c r="H57" s="54"/>
      <c r="I57" s="54"/>
      <c r="J57" s="54"/>
      <c r="K57" s="54"/>
      <c r="L57" s="54"/>
      <c r="M57" s="54"/>
      <c r="N57" s="54"/>
      <c r="O57" s="142"/>
      <c r="P57" s="54"/>
      <c r="Q57" s="54"/>
      <c r="R57" s="54"/>
      <c r="S57" s="78"/>
      <c r="T57" s="54"/>
      <c r="U57" s="34"/>
      <c r="V57" s="231"/>
      <c r="W57" s="162"/>
      <c r="X57" s="76"/>
      <c r="Y57" s="76"/>
      <c r="Z57" s="76"/>
      <c r="AA57" s="76"/>
      <c r="AB57" s="51"/>
      <c r="AC57" s="222"/>
      <c r="AD57" s="219"/>
      <c r="AE57" s="219"/>
      <c r="AF57" s="219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306"/>
      <c r="BH57" s="299"/>
    </row>
    <row r="58" spans="1:60" s="2" customFormat="1" hidden="1">
      <c r="A58" s="52"/>
      <c r="B58" s="53"/>
      <c r="C58" s="118"/>
      <c r="D58" s="3"/>
      <c r="E58" s="56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78"/>
      <c r="T58" s="54"/>
      <c r="U58" s="34"/>
      <c r="V58" s="231"/>
      <c r="W58" s="162"/>
      <c r="X58" s="76"/>
      <c r="Y58" s="76"/>
      <c r="Z58" s="76"/>
      <c r="AA58" s="76"/>
      <c r="AB58" s="51"/>
      <c r="AC58" s="222"/>
      <c r="AD58" s="219"/>
      <c r="AE58" s="219"/>
      <c r="AF58" s="219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306"/>
      <c r="BH58" s="299"/>
    </row>
    <row r="59" spans="1:60" s="2" customFormat="1" hidden="1">
      <c r="A59" s="224"/>
      <c r="B59" s="225"/>
      <c r="C59" s="226"/>
      <c r="D59" s="227"/>
      <c r="E59" s="56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78"/>
      <c r="T59" s="54"/>
      <c r="U59" s="34"/>
      <c r="V59" s="231"/>
      <c r="W59" s="162"/>
      <c r="X59" s="76"/>
      <c r="Y59" s="76"/>
      <c r="Z59" s="76"/>
      <c r="AA59" s="76"/>
      <c r="AB59" s="51"/>
      <c r="AC59" s="222"/>
      <c r="AD59" s="219"/>
      <c r="AE59" s="219"/>
      <c r="AF59" s="219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306"/>
      <c r="BH59" s="299"/>
    </row>
    <row r="60" spans="1:60" s="2" customFormat="1" hidden="1">
      <c r="A60" s="224"/>
      <c r="B60" s="225"/>
      <c r="C60" s="226"/>
      <c r="D60" s="227"/>
      <c r="E60" s="56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78"/>
      <c r="T60" s="54"/>
      <c r="U60" s="34"/>
      <c r="V60" s="231"/>
      <c r="W60" s="162"/>
      <c r="X60" s="76"/>
      <c r="Y60" s="76"/>
      <c r="Z60" s="76"/>
      <c r="AA60" s="76"/>
      <c r="AB60" s="51"/>
      <c r="AC60" s="222"/>
      <c r="AD60" s="219"/>
      <c r="AE60" s="219"/>
      <c r="AF60" s="219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306"/>
      <c r="BH60" s="299"/>
    </row>
    <row r="61" spans="1:60" s="2" customFormat="1" hidden="1">
      <c r="A61" s="224"/>
      <c r="B61" s="225"/>
      <c r="C61" s="226"/>
      <c r="D61" s="227"/>
      <c r="E61" s="56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78"/>
      <c r="T61" s="54"/>
      <c r="U61" s="34"/>
      <c r="V61" s="231"/>
      <c r="W61" s="162"/>
      <c r="X61" s="76"/>
      <c r="Y61" s="76"/>
      <c r="Z61" s="76"/>
      <c r="AA61" s="76"/>
      <c r="AB61" s="51"/>
      <c r="AC61" s="222"/>
      <c r="AD61" s="219"/>
      <c r="AE61" s="219"/>
      <c r="AF61" s="219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306"/>
      <c r="BH61" s="299"/>
    </row>
    <row r="62" spans="1:60" s="31" customFormat="1" ht="18">
      <c r="A62" s="114" t="s">
        <v>106</v>
      </c>
      <c r="B62" s="115"/>
      <c r="C62" s="115"/>
      <c r="D62" s="140"/>
      <c r="E62" s="57"/>
      <c r="F62" s="58">
        <f t="shared" ref="F62:O62" si="3">SUM(F5:F40)</f>
        <v>22624.46</v>
      </c>
      <c r="G62" s="58">
        <f t="shared" si="3"/>
        <v>936.56</v>
      </c>
      <c r="H62" s="58">
        <f t="shared" si="3"/>
        <v>0</v>
      </c>
      <c r="I62" s="58">
        <f t="shared" si="3"/>
        <v>3878</v>
      </c>
      <c r="J62" s="58">
        <f t="shared" si="3"/>
        <v>0</v>
      </c>
      <c r="K62" s="58">
        <f t="shared" si="3"/>
        <v>16883</v>
      </c>
      <c r="L62" s="58">
        <f t="shared" si="3"/>
        <v>3656.4300000000003</v>
      </c>
      <c r="M62" s="58">
        <f t="shared" si="3"/>
        <v>0</v>
      </c>
      <c r="N62" s="58">
        <f t="shared" si="3"/>
        <v>120</v>
      </c>
      <c r="O62" s="58">
        <f t="shared" si="3"/>
        <v>0</v>
      </c>
      <c r="P62" s="58">
        <f>SUM(P5:P40)</f>
        <v>0</v>
      </c>
      <c r="Q62" s="58">
        <f t="shared" ref="Q62:AC62" si="4">SUM(Q5:Q40)</f>
        <v>2823.78</v>
      </c>
      <c r="R62" s="58">
        <f t="shared" si="4"/>
        <v>0</v>
      </c>
      <c r="S62" s="230"/>
      <c r="T62" s="58">
        <f t="shared" si="4"/>
        <v>50922.229999999996</v>
      </c>
      <c r="U62" s="58"/>
      <c r="V62" s="232">
        <f t="shared" si="4"/>
        <v>33764</v>
      </c>
      <c r="W62" s="58">
        <f t="shared" si="4"/>
        <v>2822.78</v>
      </c>
      <c r="X62" s="58">
        <f t="shared" si="4"/>
        <v>4064.17</v>
      </c>
      <c r="Y62" s="58">
        <f t="shared" si="4"/>
        <v>10266.68</v>
      </c>
      <c r="Z62" s="58">
        <f t="shared" si="4"/>
        <v>0</v>
      </c>
      <c r="AA62" s="58">
        <f t="shared" si="4"/>
        <v>4.5999999999999996</v>
      </c>
      <c r="AB62" s="58">
        <f t="shared" si="4"/>
        <v>0</v>
      </c>
      <c r="AC62" s="58">
        <f t="shared" si="4"/>
        <v>0</v>
      </c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307"/>
      <c r="BH62" s="300"/>
    </row>
    <row r="63" spans="1:60" s="31" customFormat="1" ht="18">
      <c r="A63" s="114"/>
      <c r="B63" s="115"/>
      <c r="C63" s="115"/>
      <c r="D63" s="140"/>
      <c r="E63" s="57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253" t="s">
        <v>64</v>
      </c>
      <c r="Q63" s="254">
        <f>SUM(F62:Q62)-T62</f>
        <v>0</v>
      </c>
      <c r="R63" s="58"/>
      <c r="S63" s="230"/>
      <c r="T63" s="58"/>
      <c r="U63" s="58"/>
      <c r="V63" s="232"/>
      <c r="W63" s="58"/>
      <c r="X63" s="58"/>
      <c r="Y63" s="253" t="s">
        <v>64</v>
      </c>
      <c r="Z63" s="254">
        <f>SUM(V62:AC62)-T62</f>
        <v>0</v>
      </c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236"/>
      <c r="AV63" s="236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307"/>
      <c r="BH63" s="300"/>
    </row>
    <row r="64" spans="1:60" s="2" customFormat="1" ht="28.5" customHeight="1">
      <c r="A64" s="22"/>
      <c r="B64" s="1"/>
      <c r="C64" s="51" t="s">
        <v>107</v>
      </c>
      <c r="D64" s="1"/>
      <c r="E64" s="48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185"/>
      <c r="R64" s="61" t="s">
        <v>108</v>
      </c>
      <c r="S64" s="80"/>
      <c r="T64" s="58">
        <f>T62-V62</f>
        <v>17158.229999999996</v>
      </c>
      <c r="U64" s="34"/>
      <c r="V64" s="231"/>
      <c r="W64" s="1"/>
      <c r="X64" s="51"/>
      <c r="AA64" s="75"/>
      <c r="AB64" s="51"/>
      <c r="AC64" s="51"/>
      <c r="AD64" s="162"/>
      <c r="AE64" s="162"/>
      <c r="AF64" s="162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275"/>
      <c r="BH64" s="299"/>
    </row>
    <row r="65" spans="1:60" s="2" customFormat="1" ht="28.5" customHeight="1">
      <c r="A65" s="240"/>
      <c r="B65" s="241"/>
      <c r="C65" s="242"/>
      <c r="D65" s="241"/>
      <c r="E65" s="243"/>
      <c r="F65" s="244"/>
      <c r="G65" s="244"/>
      <c r="H65" s="244"/>
      <c r="I65" s="244"/>
      <c r="J65" s="244"/>
      <c r="K65" s="244"/>
      <c r="L65" s="244"/>
      <c r="M65" s="244"/>
      <c r="N65" s="244"/>
      <c r="O65" s="244"/>
      <c r="P65" s="244"/>
      <c r="Q65" s="245"/>
      <c r="R65" s="246"/>
      <c r="S65" s="246"/>
      <c r="T65" s="247"/>
      <c r="U65" s="248"/>
      <c r="V65" s="249"/>
      <c r="W65" s="241"/>
      <c r="X65" s="242"/>
      <c r="Y65" s="242"/>
      <c r="Z65" s="250"/>
      <c r="AA65" s="250"/>
      <c r="AB65" s="242"/>
      <c r="AC65" s="242"/>
      <c r="AD65" s="251"/>
      <c r="AE65" s="251"/>
      <c r="AF65" s="251"/>
      <c r="AG65" s="241"/>
      <c r="AH65" s="241"/>
      <c r="AI65" s="241"/>
      <c r="AJ65" s="241"/>
      <c r="AK65" s="241"/>
      <c r="AL65" s="241"/>
      <c r="AM65" s="241"/>
      <c r="AN65" s="241"/>
      <c r="AO65" s="241"/>
      <c r="AP65" s="241"/>
      <c r="AQ65" s="241"/>
      <c r="AR65" s="241"/>
      <c r="AS65" s="241"/>
      <c r="AT65" s="241"/>
      <c r="AW65" s="241"/>
      <c r="AX65" s="241"/>
      <c r="AY65" s="241"/>
      <c r="AZ65" s="241"/>
      <c r="BA65" s="241"/>
      <c r="BB65" s="241"/>
      <c r="BC65" s="241"/>
      <c r="BD65" s="241"/>
      <c r="BE65" s="241"/>
      <c r="BF65" s="241"/>
      <c r="BG65" s="308"/>
      <c r="BH65" s="299"/>
    </row>
    <row r="66" spans="1:60" ht="23.25" customHeight="1">
      <c r="A66" s="111" t="s">
        <v>109</v>
      </c>
      <c r="B66" s="112"/>
      <c r="C66" s="112"/>
      <c r="D66" s="139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2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271"/>
      <c r="BG66" s="304"/>
    </row>
    <row r="67" spans="1:60">
      <c r="A67" s="19" t="s">
        <v>66</v>
      </c>
      <c r="B67" s="4" t="s">
        <v>110</v>
      </c>
      <c r="C67" s="4" t="s">
        <v>111</v>
      </c>
      <c r="D67" s="213"/>
      <c r="E67" s="33">
        <v>875</v>
      </c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78"/>
      <c r="T67" s="54">
        <f>SUM(F67:R67)</f>
        <v>0</v>
      </c>
      <c r="U67" s="54"/>
      <c r="V67" s="170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>
        <f>T67</f>
        <v>0</v>
      </c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272"/>
      <c r="BG67" s="305">
        <f t="shared" ref="BG67:BG98" si="5">SUM(AD67:BF67)</f>
        <v>0</v>
      </c>
      <c r="BH67" s="301">
        <f t="shared" ref="BH67:BH92" si="6">T67-BG67</f>
        <v>0</v>
      </c>
    </row>
    <row r="68" spans="1:60">
      <c r="A68" s="19" t="s">
        <v>112</v>
      </c>
      <c r="B68" s="4" t="s">
        <v>113</v>
      </c>
      <c r="C68" s="4" t="s">
        <v>114</v>
      </c>
      <c r="D68" s="216"/>
      <c r="E68" s="33"/>
      <c r="F68" s="54">
        <v>17</v>
      </c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78"/>
      <c r="T68" s="54">
        <f t="shared" ref="T68:T130" si="7">SUM(F68:R68)</f>
        <v>17</v>
      </c>
      <c r="U68" s="54"/>
      <c r="V68" s="170"/>
      <c r="W68" s="54"/>
      <c r="X68" s="54"/>
      <c r="Y68" s="54"/>
      <c r="Z68" s="54"/>
      <c r="AA68" s="54"/>
      <c r="AB68" s="54"/>
      <c r="AC68" s="54"/>
      <c r="AD68" s="54"/>
      <c r="AE68" s="54"/>
      <c r="AF68" s="54">
        <f>T68</f>
        <v>17</v>
      </c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272"/>
      <c r="BG68" s="305">
        <f t="shared" si="5"/>
        <v>17</v>
      </c>
      <c r="BH68" s="301">
        <f t="shared" si="6"/>
        <v>0</v>
      </c>
    </row>
    <row r="69" spans="1:60" ht="15.75" customHeight="1">
      <c r="A69" s="19" t="s">
        <v>71</v>
      </c>
      <c r="B69" s="4" t="s">
        <v>115</v>
      </c>
      <c r="C69" s="4" t="s">
        <v>116</v>
      </c>
      <c r="D69" s="213"/>
      <c r="E69" s="63" t="s">
        <v>117</v>
      </c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78"/>
      <c r="T69" s="54">
        <f t="shared" si="7"/>
        <v>0</v>
      </c>
      <c r="U69" s="54"/>
      <c r="V69" s="170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>
        <f>T69</f>
        <v>0</v>
      </c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272"/>
      <c r="BG69" s="305">
        <f t="shared" si="5"/>
        <v>0</v>
      </c>
      <c r="BH69" s="301">
        <f t="shared" si="6"/>
        <v>0</v>
      </c>
    </row>
    <row r="70" spans="1:60" ht="12.75" customHeight="1">
      <c r="A70" s="19" t="s">
        <v>74</v>
      </c>
      <c r="B70" s="8" t="s">
        <v>118</v>
      </c>
      <c r="C70" s="4" t="s">
        <v>45</v>
      </c>
      <c r="D70" s="213"/>
      <c r="E70" s="63"/>
      <c r="F70" s="54">
        <v>307.60000000000002</v>
      </c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78"/>
      <c r="T70" s="54">
        <f t="shared" si="7"/>
        <v>307.60000000000002</v>
      </c>
      <c r="U70" s="54"/>
      <c r="V70" s="170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>
        <f>T70</f>
        <v>307.60000000000002</v>
      </c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272"/>
      <c r="BG70" s="305">
        <f t="shared" si="5"/>
        <v>307.60000000000002</v>
      </c>
      <c r="BH70" s="301">
        <f t="shared" si="6"/>
        <v>0</v>
      </c>
    </row>
    <row r="71" spans="1:60" ht="17.25" customHeight="1">
      <c r="A71" s="19" t="s">
        <v>76</v>
      </c>
      <c r="B71" s="8" t="s">
        <v>119</v>
      </c>
      <c r="C71" s="4" t="s">
        <v>120</v>
      </c>
      <c r="D71" s="214"/>
      <c r="E71" s="64"/>
      <c r="F71" s="54">
        <v>45.31</v>
      </c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78"/>
      <c r="T71" s="54">
        <f t="shared" si="7"/>
        <v>45.31</v>
      </c>
      <c r="U71" s="54"/>
      <c r="V71" s="170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>
        <v>45.31</v>
      </c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272"/>
      <c r="BG71" s="305">
        <f t="shared" si="5"/>
        <v>45.31</v>
      </c>
      <c r="BH71" s="301">
        <f t="shared" si="6"/>
        <v>0</v>
      </c>
    </row>
    <row r="72" spans="1:60">
      <c r="A72" s="19" t="s">
        <v>76</v>
      </c>
      <c r="B72" s="4" t="s">
        <v>119</v>
      </c>
      <c r="C72" s="8" t="s">
        <v>121</v>
      </c>
      <c r="D72" s="3"/>
      <c r="E72" s="65"/>
      <c r="F72" s="54">
        <v>941.06</v>
      </c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78"/>
      <c r="T72" s="54">
        <f t="shared" si="7"/>
        <v>941.06</v>
      </c>
      <c r="U72" s="54"/>
      <c r="V72" s="170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>
        <f>T72</f>
        <v>941.06</v>
      </c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272"/>
      <c r="BG72" s="305">
        <f t="shared" si="5"/>
        <v>941.06</v>
      </c>
      <c r="BH72" s="301">
        <f t="shared" si="6"/>
        <v>0</v>
      </c>
    </row>
    <row r="73" spans="1:60">
      <c r="A73" s="19" t="s">
        <v>76</v>
      </c>
      <c r="B73" s="4" t="s">
        <v>119</v>
      </c>
      <c r="C73" s="4" t="s">
        <v>122</v>
      </c>
      <c r="D73" s="213"/>
      <c r="E73" s="66"/>
      <c r="F73" s="54">
        <v>718.47</v>
      </c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78"/>
      <c r="T73" s="54">
        <f t="shared" si="7"/>
        <v>718.47</v>
      </c>
      <c r="U73" s="54"/>
      <c r="V73" s="170"/>
      <c r="W73" s="54"/>
      <c r="X73" s="54"/>
      <c r="Y73" s="54"/>
      <c r="Z73" s="54"/>
      <c r="AA73" s="54"/>
      <c r="AB73" s="54"/>
      <c r="AC73" s="54"/>
      <c r="AD73" s="54">
        <f>T73</f>
        <v>718.47</v>
      </c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272"/>
      <c r="BG73" s="305">
        <f t="shared" si="5"/>
        <v>718.47</v>
      </c>
      <c r="BH73" s="301">
        <f t="shared" si="6"/>
        <v>0</v>
      </c>
    </row>
    <row r="74" spans="1:60">
      <c r="A74" s="19" t="s">
        <v>79</v>
      </c>
      <c r="B74" s="4" t="s">
        <v>123</v>
      </c>
      <c r="C74" s="4" t="s">
        <v>124</v>
      </c>
      <c r="D74" s="213"/>
      <c r="E74" s="66"/>
      <c r="F74" s="54">
        <v>1098</v>
      </c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78"/>
      <c r="T74" s="54">
        <f t="shared" si="7"/>
        <v>1098</v>
      </c>
      <c r="U74" s="54"/>
      <c r="V74" s="170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>
        <f>T74</f>
        <v>1098</v>
      </c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272"/>
      <c r="BG74" s="305">
        <f t="shared" si="5"/>
        <v>1098</v>
      </c>
      <c r="BH74" s="301">
        <f t="shared" si="6"/>
        <v>0</v>
      </c>
    </row>
    <row r="75" spans="1:60">
      <c r="A75" s="19" t="s">
        <v>125</v>
      </c>
      <c r="B75" s="4" t="s">
        <v>126</v>
      </c>
      <c r="C75" s="4" t="s">
        <v>127</v>
      </c>
      <c r="D75" s="208"/>
      <c r="E75" s="66" t="s">
        <v>128</v>
      </c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78"/>
      <c r="T75" s="54">
        <f t="shared" si="7"/>
        <v>0</v>
      </c>
      <c r="U75" s="54"/>
      <c r="V75" s="170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>
        <f>T75</f>
        <v>0</v>
      </c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272"/>
      <c r="BG75" s="305">
        <f t="shared" si="5"/>
        <v>0</v>
      </c>
      <c r="BH75" s="301">
        <f t="shared" si="6"/>
        <v>0</v>
      </c>
    </row>
    <row r="76" spans="1:60">
      <c r="A76" s="19" t="s">
        <v>84</v>
      </c>
      <c r="B76" s="4" t="s">
        <v>129</v>
      </c>
      <c r="C76" s="4" t="s">
        <v>130</v>
      </c>
      <c r="D76" s="213"/>
      <c r="E76" s="66"/>
      <c r="F76" s="54"/>
      <c r="G76" s="54">
        <v>770.91</v>
      </c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78"/>
      <c r="T76" s="54">
        <f t="shared" si="7"/>
        <v>770.91</v>
      </c>
      <c r="U76" s="54"/>
      <c r="V76" s="170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>
        <f>T76</f>
        <v>770.91</v>
      </c>
      <c r="AY76" s="54"/>
      <c r="AZ76" s="54"/>
      <c r="BA76" s="54"/>
      <c r="BB76" s="54"/>
      <c r="BC76" s="54"/>
      <c r="BD76" s="54"/>
      <c r="BE76" s="54"/>
      <c r="BF76" s="272"/>
      <c r="BG76" s="305">
        <f t="shared" si="5"/>
        <v>770.91</v>
      </c>
      <c r="BH76" s="301">
        <f t="shared" si="6"/>
        <v>0</v>
      </c>
    </row>
    <row r="77" spans="1:60">
      <c r="A77" s="19" t="s">
        <v>131</v>
      </c>
      <c r="B77" s="4" t="s">
        <v>132</v>
      </c>
      <c r="C77" s="4" t="s">
        <v>39</v>
      </c>
      <c r="D77" s="213"/>
      <c r="E77" s="66"/>
      <c r="F77" s="54"/>
      <c r="G77" s="54">
        <v>39</v>
      </c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78"/>
      <c r="T77" s="54">
        <f t="shared" si="7"/>
        <v>39</v>
      </c>
      <c r="U77" s="54"/>
      <c r="V77" s="170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>
        <f>T77</f>
        <v>39</v>
      </c>
      <c r="AH77" s="54"/>
      <c r="AI77" s="54"/>
      <c r="AJ77" s="54"/>
      <c r="AK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272"/>
      <c r="BG77" s="305">
        <f t="shared" si="5"/>
        <v>39</v>
      </c>
      <c r="BH77" s="301">
        <f t="shared" si="6"/>
        <v>0</v>
      </c>
    </row>
    <row r="78" spans="1:60">
      <c r="A78" s="19" t="s">
        <v>133</v>
      </c>
      <c r="B78" s="4" t="s">
        <v>113</v>
      </c>
      <c r="C78" s="4" t="s">
        <v>134</v>
      </c>
      <c r="D78" s="213"/>
      <c r="E78" s="66"/>
      <c r="F78" s="54"/>
      <c r="G78" s="54">
        <v>13</v>
      </c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78"/>
      <c r="T78" s="54">
        <f t="shared" si="7"/>
        <v>13</v>
      </c>
      <c r="U78" s="54"/>
      <c r="V78" s="170"/>
      <c r="W78" s="54"/>
      <c r="X78" s="54"/>
      <c r="Y78" s="54"/>
      <c r="Z78" s="54"/>
      <c r="AA78" s="54"/>
      <c r="AB78" s="54"/>
      <c r="AC78" s="54"/>
      <c r="AD78" s="54"/>
      <c r="AE78" s="54"/>
      <c r="AF78" s="54">
        <f>T78</f>
        <v>13</v>
      </c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272"/>
      <c r="BG78" s="305">
        <f t="shared" si="5"/>
        <v>13</v>
      </c>
      <c r="BH78" s="301">
        <f t="shared" si="6"/>
        <v>0</v>
      </c>
    </row>
    <row r="79" spans="1:60">
      <c r="A79" s="19" t="s">
        <v>135</v>
      </c>
      <c r="B79" s="4" t="s">
        <v>119</v>
      </c>
      <c r="C79" s="4" t="s">
        <v>120</v>
      </c>
      <c r="D79" s="213"/>
      <c r="E79" s="35"/>
      <c r="F79" s="54"/>
      <c r="G79" s="54">
        <v>45.31</v>
      </c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78"/>
      <c r="T79" s="54">
        <f t="shared" si="7"/>
        <v>45.31</v>
      </c>
      <c r="U79" s="54"/>
      <c r="V79" s="170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>
        <f>T79</f>
        <v>45.31</v>
      </c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272"/>
      <c r="BG79" s="305">
        <f t="shared" si="5"/>
        <v>45.31</v>
      </c>
      <c r="BH79" s="301">
        <f t="shared" si="6"/>
        <v>0</v>
      </c>
    </row>
    <row r="80" spans="1:60">
      <c r="A80" s="88" t="s">
        <v>135</v>
      </c>
      <c r="B80" s="93" t="s">
        <v>119</v>
      </c>
      <c r="C80" s="93" t="s">
        <v>122</v>
      </c>
      <c r="D80" s="210"/>
      <c r="E80" s="89"/>
      <c r="F80" s="54"/>
      <c r="G80" s="54">
        <v>718.47</v>
      </c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78"/>
      <c r="T80" s="54">
        <f t="shared" si="7"/>
        <v>718.47</v>
      </c>
      <c r="U80" s="54"/>
      <c r="V80" s="170"/>
      <c r="W80" s="54"/>
      <c r="X80" s="54"/>
      <c r="Y80" s="54"/>
      <c r="Z80" s="54"/>
      <c r="AA80" s="54"/>
      <c r="AB80" s="54"/>
      <c r="AC80" s="54"/>
      <c r="AD80" s="54">
        <f>T80</f>
        <v>718.47</v>
      </c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272"/>
      <c r="BG80" s="305">
        <f t="shared" si="5"/>
        <v>718.47</v>
      </c>
      <c r="BH80" s="301">
        <f t="shared" si="6"/>
        <v>0</v>
      </c>
    </row>
    <row r="81" spans="1:60">
      <c r="A81" s="88" t="s">
        <v>136</v>
      </c>
      <c r="B81" s="93" t="s">
        <v>118</v>
      </c>
      <c r="C81" s="93" t="s">
        <v>137</v>
      </c>
      <c r="D81" s="215"/>
      <c r="E81" s="89"/>
      <c r="F81" s="54"/>
      <c r="G81" s="54">
        <v>325</v>
      </c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78"/>
      <c r="T81" s="54">
        <f t="shared" si="7"/>
        <v>325</v>
      </c>
      <c r="U81" s="54"/>
      <c r="V81" s="170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>
        <f>T81</f>
        <v>325</v>
      </c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272"/>
      <c r="BG81" s="305">
        <f t="shared" si="5"/>
        <v>325</v>
      </c>
      <c r="BH81" s="301">
        <f t="shared" si="6"/>
        <v>0</v>
      </c>
    </row>
    <row r="82" spans="1:60">
      <c r="A82" s="19" t="s">
        <v>136</v>
      </c>
      <c r="B82" s="4" t="s">
        <v>138</v>
      </c>
      <c r="C82" s="4" t="s">
        <v>139</v>
      </c>
      <c r="D82" s="208"/>
      <c r="E82" s="35"/>
      <c r="F82" s="54"/>
      <c r="G82" s="54">
        <v>423.6</v>
      </c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78"/>
      <c r="T82" s="54">
        <f t="shared" si="7"/>
        <v>423.6</v>
      </c>
      <c r="U82" s="54"/>
      <c r="V82" s="170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>
        <f>T82</f>
        <v>423.6</v>
      </c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272"/>
      <c r="BG82" s="305">
        <f t="shared" si="5"/>
        <v>423.6</v>
      </c>
      <c r="BH82" s="301">
        <f t="shared" si="6"/>
        <v>0</v>
      </c>
    </row>
    <row r="83" spans="1:60">
      <c r="A83" s="90" t="s">
        <v>140</v>
      </c>
      <c r="B83" s="91" t="s">
        <v>141</v>
      </c>
      <c r="C83" s="91" t="s">
        <v>142</v>
      </c>
      <c r="D83" s="211"/>
      <c r="E83" s="92"/>
      <c r="F83" s="54"/>
      <c r="G83" s="54">
        <v>53</v>
      </c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78"/>
      <c r="T83" s="54">
        <f t="shared" si="7"/>
        <v>53</v>
      </c>
      <c r="U83" s="54"/>
      <c r="V83" s="170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>
        <f>T83</f>
        <v>53</v>
      </c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272"/>
      <c r="BG83" s="305">
        <f t="shared" si="5"/>
        <v>53</v>
      </c>
      <c r="BH83" s="301">
        <f t="shared" si="6"/>
        <v>0</v>
      </c>
    </row>
    <row r="84" spans="1:60">
      <c r="A84" s="90" t="s">
        <v>143</v>
      </c>
      <c r="B84" s="4" t="s">
        <v>144</v>
      </c>
      <c r="C84" s="4" t="s">
        <v>145</v>
      </c>
      <c r="D84" s="208"/>
      <c r="E84" s="35"/>
      <c r="F84" s="54"/>
      <c r="G84" s="54">
        <v>610.04</v>
      </c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78"/>
      <c r="T84" s="54">
        <f t="shared" si="7"/>
        <v>610.04</v>
      </c>
      <c r="U84" s="54"/>
      <c r="V84" s="170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>
        <f>T84</f>
        <v>610.04</v>
      </c>
      <c r="AW84" s="54"/>
      <c r="AX84" s="54"/>
      <c r="AY84" s="54"/>
      <c r="AZ84" s="54"/>
      <c r="BA84" s="54"/>
      <c r="BB84" s="54"/>
      <c r="BC84" s="54"/>
      <c r="BD84" s="54"/>
      <c r="BE84" s="54"/>
      <c r="BF84" s="272"/>
      <c r="BG84" s="305">
        <f t="shared" si="5"/>
        <v>610.04</v>
      </c>
      <c r="BH84" s="301">
        <f t="shared" si="6"/>
        <v>0</v>
      </c>
    </row>
    <row r="85" spans="1:60" ht="25.5">
      <c r="A85" s="19" t="s">
        <v>143</v>
      </c>
      <c r="B85" s="4" t="s">
        <v>146</v>
      </c>
      <c r="C85" s="4" t="s">
        <v>147</v>
      </c>
      <c r="D85" s="208"/>
      <c r="E85" s="35"/>
      <c r="F85" s="54"/>
      <c r="G85" s="54">
        <v>1320.62</v>
      </c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78"/>
      <c r="T85" s="54">
        <f t="shared" si="7"/>
        <v>1320.62</v>
      </c>
      <c r="U85" s="54"/>
      <c r="V85" s="170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>
        <f>T85</f>
        <v>1320.62</v>
      </c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272"/>
      <c r="BG85" s="305">
        <f t="shared" si="5"/>
        <v>1320.62</v>
      </c>
      <c r="BH85" s="301">
        <f t="shared" si="6"/>
        <v>0</v>
      </c>
    </row>
    <row r="86" spans="1:60">
      <c r="A86" s="19" t="s">
        <v>148</v>
      </c>
      <c r="B86" s="4" t="s">
        <v>67</v>
      </c>
      <c r="C86" s="4" t="s">
        <v>149</v>
      </c>
      <c r="D86" s="208"/>
      <c r="E86" s="35"/>
      <c r="F86" s="54"/>
      <c r="G86" s="54">
        <v>788.48</v>
      </c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78"/>
      <c r="T86" s="54">
        <f t="shared" si="7"/>
        <v>788.48</v>
      </c>
      <c r="U86" s="54"/>
      <c r="V86" s="170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>
        <f>T86</f>
        <v>788.48</v>
      </c>
      <c r="BB86" s="54"/>
      <c r="BC86" s="54"/>
      <c r="BD86" s="54"/>
      <c r="BE86" s="54"/>
      <c r="BF86" s="272"/>
      <c r="BG86" s="305">
        <f t="shared" si="5"/>
        <v>788.48</v>
      </c>
      <c r="BH86" s="301">
        <f t="shared" si="6"/>
        <v>0</v>
      </c>
    </row>
    <row r="87" spans="1:60">
      <c r="A87" s="19" t="s">
        <v>148</v>
      </c>
      <c r="B87" s="4" t="s">
        <v>67</v>
      </c>
      <c r="C87" s="4" t="s">
        <v>150</v>
      </c>
      <c r="D87" s="212"/>
      <c r="E87" s="35"/>
      <c r="F87" s="54"/>
      <c r="G87" s="54">
        <v>349.3</v>
      </c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78"/>
      <c r="T87" s="54">
        <f t="shared" si="7"/>
        <v>349.3</v>
      </c>
      <c r="U87" s="54"/>
      <c r="V87" s="170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>
        <f>T87</f>
        <v>349.3</v>
      </c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272"/>
      <c r="BG87" s="305">
        <f t="shared" si="5"/>
        <v>349.3</v>
      </c>
      <c r="BH87" s="301">
        <f t="shared" si="6"/>
        <v>0</v>
      </c>
    </row>
    <row r="88" spans="1:60">
      <c r="A88" s="19" t="s">
        <v>151</v>
      </c>
      <c r="B88" s="4" t="s">
        <v>152</v>
      </c>
      <c r="C88" s="4" t="s">
        <v>153</v>
      </c>
      <c r="D88" s="208"/>
      <c r="E88" s="35"/>
      <c r="F88" s="54"/>
      <c r="G88" s="54"/>
      <c r="H88" s="54">
        <v>129.6</v>
      </c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78"/>
      <c r="T88" s="54">
        <f t="shared" si="7"/>
        <v>129.6</v>
      </c>
      <c r="U88" s="54"/>
      <c r="V88" s="170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>
        <f>T88</f>
        <v>129.6</v>
      </c>
      <c r="AW88" s="54"/>
      <c r="AX88" s="54"/>
      <c r="AY88" s="54"/>
      <c r="AZ88" s="54"/>
      <c r="BA88" s="54"/>
      <c r="BB88" s="54"/>
      <c r="BC88" s="54"/>
      <c r="BD88" s="54"/>
      <c r="BE88" s="54"/>
      <c r="BF88" s="272"/>
      <c r="BG88" s="305">
        <f t="shared" si="5"/>
        <v>129.6</v>
      </c>
      <c r="BH88" s="301">
        <f t="shared" si="6"/>
        <v>0</v>
      </c>
    </row>
    <row r="89" spans="1:60">
      <c r="A89" s="19" t="s">
        <v>154</v>
      </c>
      <c r="B89" s="4" t="s">
        <v>132</v>
      </c>
      <c r="C89" s="4" t="s">
        <v>39</v>
      </c>
      <c r="D89" s="208"/>
      <c r="E89" s="35"/>
      <c r="F89" s="54"/>
      <c r="G89" s="54"/>
      <c r="H89" s="54">
        <v>39</v>
      </c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78"/>
      <c r="T89" s="54">
        <f t="shared" si="7"/>
        <v>39</v>
      </c>
      <c r="U89" s="54"/>
      <c r="V89" s="170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>
        <f>T89</f>
        <v>39</v>
      </c>
      <c r="AH89" s="54"/>
      <c r="AI89" s="54"/>
      <c r="AJ89" s="54"/>
      <c r="AK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272"/>
      <c r="BG89" s="305">
        <f t="shared" si="5"/>
        <v>39</v>
      </c>
      <c r="BH89" s="301">
        <f t="shared" si="6"/>
        <v>0</v>
      </c>
    </row>
    <row r="90" spans="1:60">
      <c r="A90" s="19" t="s">
        <v>155</v>
      </c>
      <c r="B90" s="4" t="s">
        <v>119</v>
      </c>
      <c r="C90" s="4" t="s">
        <v>122</v>
      </c>
      <c r="D90" s="208"/>
      <c r="E90" s="35"/>
      <c r="F90" s="54"/>
      <c r="G90" s="54"/>
      <c r="H90" s="54">
        <v>718.47</v>
      </c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78"/>
      <c r="T90" s="54">
        <f t="shared" si="7"/>
        <v>718.47</v>
      </c>
      <c r="U90" s="54"/>
      <c r="V90" s="170"/>
      <c r="W90" s="54"/>
      <c r="X90" s="54"/>
      <c r="Y90" s="54"/>
      <c r="Z90" s="54"/>
      <c r="AA90" s="54"/>
      <c r="AB90" s="54"/>
      <c r="AC90" s="54"/>
      <c r="AD90" s="54">
        <f>T90</f>
        <v>718.47</v>
      </c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272"/>
      <c r="BG90" s="305">
        <f t="shared" si="5"/>
        <v>718.47</v>
      </c>
      <c r="BH90" s="301">
        <f t="shared" si="6"/>
        <v>0</v>
      </c>
    </row>
    <row r="91" spans="1:60">
      <c r="A91" s="19" t="s">
        <v>155</v>
      </c>
      <c r="B91" s="4" t="s">
        <v>119</v>
      </c>
      <c r="C91" s="4" t="s">
        <v>120</v>
      </c>
      <c r="D91" s="208"/>
      <c r="E91" s="35"/>
      <c r="F91" s="54"/>
      <c r="G91" s="54"/>
      <c r="H91" s="54">
        <v>57.57</v>
      </c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78"/>
      <c r="T91" s="54">
        <f t="shared" si="7"/>
        <v>57.57</v>
      </c>
      <c r="U91" s="54"/>
      <c r="V91" s="170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>
        <f>T91</f>
        <v>57.57</v>
      </c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272"/>
      <c r="BG91" s="305">
        <f t="shared" si="5"/>
        <v>57.57</v>
      </c>
      <c r="BH91" s="301">
        <f t="shared" si="6"/>
        <v>0</v>
      </c>
    </row>
    <row r="92" spans="1:60">
      <c r="A92" s="19" t="s">
        <v>155</v>
      </c>
      <c r="B92" s="4" t="s">
        <v>118</v>
      </c>
      <c r="C92" s="4" t="s">
        <v>45</v>
      </c>
      <c r="D92" s="208"/>
      <c r="E92" s="35"/>
      <c r="F92" s="54"/>
      <c r="G92" s="54"/>
      <c r="H92" s="54">
        <v>451.92</v>
      </c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78"/>
      <c r="T92" s="54">
        <f t="shared" si="7"/>
        <v>451.92</v>
      </c>
      <c r="U92" s="54"/>
      <c r="V92" s="170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>
        <f>T92</f>
        <v>451.92</v>
      </c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272"/>
      <c r="BG92" s="305">
        <f t="shared" si="5"/>
        <v>451.92</v>
      </c>
      <c r="BH92" s="301">
        <f t="shared" si="6"/>
        <v>0</v>
      </c>
    </row>
    <row r="93" spans="1:60">
      <c r="A93" s="19" t="s">
        <v>156</v>
      </c>
      <c r="B93" s="4" t="s">
        <v>113</v>
      </c>
      <c r="C93" s="4" t="s">
        <v>134</v>
      </c>
      <c r="D93" s="208"/>
      <c r="E93" s="35"/>
      <c r="F93" s="54"/>
      <c r="G93" s="54"/>
      <c r="H93" s="54">
        <v>25</v>
      </c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78"/>
      <c r="T93" s="54">
        <f t="shared" si="7"/>
        <v>25</v>
      </c>
      <c r="U93" s="54"/>
      <c r="V93" s="170"/>
      <c r="W93" s="54"/>
      <c r="X93" s="54"/>
      <c r="Y93" s="54"/>
      <c r="Z93" s="54"/>
      <c r="AA93" s="54"/>
      <c r="AB93" s="54"/>
      <c r="AC93" s="54"/>
      <c r="AD93" s="54"/>
      <c r="AE93" s="54"/>
      <c r="AF93" s="54">
        <f>T93</f>
        <v>25</v>
      </c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272"/>
      <c r="BG93" s="305">
        <f t="shared" si="5"/>
        <v>25</v>
      </c>
      <c r="BH93" s="301">
        <f t="shared" ref="BH93:BH141" si="8">T93-BG93</f>
        <v>0</v>
      </c>
    </row>
    <row r="94" spans="1:60">
      <c r="A94" s="19" t="s">
        <v>157</v>
      </c>
      <c r="B94" s="4" t="s">
        <v>144</v>
      </c>
      <c r="C94" s="4" t="s">
        <v>145</v>
      </c>
      <c r="D94" s="208"/>
      <c r="E94" s="35"/>
      <c r="F94" s="54"/>
      <c r="G94" s="54"/>
      <c r="H94" s="54">
        <v>2408.0500000000002</v>
      </c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78"/>
      <c r="T94" s="54">
        <f t="shared" si="7"/>
        <v>2408.0500000000002</v>
      </c>
      <c r="U94" s="54"/>
      <c r="V94" s="170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>
        <f>T94</f>
        <v>2408.0500000000002</v>
      </c>
      <c r="AW94" s="54"/>
      <c r="AX94" s="54"/>
      <c r="AY94" s="54"/>
      <c r="AZ94" s="54"/>
      <c r="BA94" s="54"/>
      <c r="BB94" s="54"/>
      <c r="BC94" s="54"/>
      <c r="BD94" s="54"/>
      <c r="BE94" s="54"/>
      <c r="BF94" s="272"/>
      <c r="BG94" s="305">
        <f t="shared" si="5"/>
        <v>2408.0500000000002</v>
      </c>
      <c r="BH94" s="301">
        <f t="shared" si="8"/>
        <v>0</v>
      </c>
    </row>
    <row r="95" spans="1:60" ht="15" customHeight="1">
      <c r="A95" s="19" t="s">
        <v>158</v>
      </c>
      <c r="B95" s="4" t="s">
        <v>132</v>
      </c>
      <c r="C95" s="4" t="s">
        <v>39</v>
      </c>
      <c r="D95" s="3"/>
      <c r="E95" s="35"/>
      <c r="F95" s="54"/>
      <c r="G95" s="54"/>
      <c r="H95" s="54">
        <v>39</v>
      </c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78"/>
      <c r="T95" s="54">
        <f t="shared" si="7"/>
        <v>39</v>
      </c>
      <c r="U95" s="54"/>
      <c r="V95" s="170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>
        <f>T95</f>
        <v>39</v>
      </c>
      <c r="AH95" s="54"/>
      <c r="AI95" s="54"/>
      <c r="AJ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272"/>
      <c r="BG95" s="305">
        <f t="shared" si="5"/>
        <v>39</v>
      </c>
      <c r="BH95" s="301">
        <f t="shared" si="8"/>
        <v>0</v>
      </c>
    </row>
    <row r="96" spans="1:60" ht="13.5" customHeight="1">
      <c r="A96" s="19" t="s">
        <v>159</v>
      </c>
      <c r="B96" s="4" t="s">
        <v>113</v>
      </c>
      <c r="C96" s="4" t="s">
        <v>134</v>
      </c>
      <c r="D96" s="208"/>
      <c r="E96" s="35"/>
      <c r="F96" s="54"/>
      <c r="G96" s="54"/>
      <c r="H96" s="54"/>
      <c r="I96" s="54">
        <v>16</v>
      </c>
      <c r="J96" s="54"/>
      <c r="K96" s="54"/>
      <c r="L96" s="54"/>
      <c r="M96" s="54"/>
      <c r="N96" s="54"/>
      <c r="O96" s="54"/>
      <c r="P96" s="54"/>
      <c r="Q96" s="54"/>
      <c r="R96" s="54"/>
      <c r="S96" s="78"/>
      <c r="T96" s="54">
        <f t="shared" si="7"/>
        <v>16</v>
      </c>
      <c r="U96" s="54"/>
      <c r="V96" s="170"/>
      <c r="W96" s="54"/>
      <c r="X96" s="54"/>
      <c r="Y96" s="54"/>
      <c r="Z96" s="54"/>
      <c r="AA96" s="54"/>
      <c r="AB96" s="54"/>
      <c r="AC96" s="54"/>
      <c r="AD96" s="54"/>
      <c r="AE96" s="54"/>
      <c r="AF96" s="54">
        <f>T96</f>
        <v>16</v>
      </c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272"/>
      <c r="BG96" s="305">
        <f t="shared" si="5"/>
        <v>16</v>
      </c>
      <c r="BH96" s="301">
        <f t="shared" si="8"/>
        <v>0</v>
      </c>
    </row>
    <row r="97" spans="1:60">
      <c r="A97" s="19" t="s">
        <v>160</v>
      </c>
      <c r="B97" s="4" t="s">
        <v>119</v>
      </c>
      <c r="C97" s="4" t="s">
        <v>122</v>
      </c>
      <c r="D97" s="208"/>
      <c r="E97" s="35"/>
      <c r="F97" s="54"/>
      <c r="G97" s="54"/>
      <c r="H97" s="54"/>
      <c r="I97" s="54">
        <v>794.63</v>
      </c>
      <c r="J97" s="54"/>
      <c r="K97" s="54"/>
      <c r="L97" s="54"/>
      <c r="M97" s="54"/>
      <c r="N97" s="54"/>
      <c r="O97" s="54"/>
      <c r="P97" s="54"/>
      <c r="Q97" s="54"/>
      <c r="R97" s="54"/>
      <c r="S97" s="78"/>
      <c r="T97" s="54">
        <f t="shared" si="7"/>
        <v>794.63</v>
      </c>
      <c r="U97" s="54"/>
      <c r="V97" s="170"/>
      <c r="W97" s="54"/>
      <c r="X97" s="54"/>
      <c r="Y97" s="54"/>
      <c r="Z97" s="54"/>
      <c r="AA97" s="54"/>
      <c r="AB97" s="54"/>
      <c r="AC97" s="54"/>
      <c r="AD97" s="54">
        <f>T97</f>
        <v>794.63</v>
      </c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272"/>
      <c r="BG97" s="305">
        <f t="shared" si="5"/>
        <v>794.63</v>
      </c>
      <c r="BH97" s="301">
        <f t="shared" si="8"/>
        <v>0</v>
      </c>
    </row>
    <row r="98" spans="1:60" ht="15.75">
      <c r="A98" s="19" t="s">
        <v>161</v>
      </c>
      <c r="B98" s="4" t="s">
        <v>118</v>
      </c>
      <c r="C98" s="4" t="s">
        <v>137</v>
      </c>
      <c r="D98" s="208"/>
      <c r="E98" s="39"/>
      <c r="F98" s="54"/>
      <c r="G98" s="54"/>
      <c r="H98" s="54"/>
      <c r="I98" s="54">
        <v>322.25</v>
      </c>
      <c r="J98" s="54"/>
      <c r="K98" s="54"/>
      <c r="L98" s="54"/>
      <c r="M98" s="54"/>
      <c r="N98" s="54"/>
      <c r="O98" s="54"/>
      <c r="P98" s="54"/>
      <c r="Q98" s="54"/>
      <c r="R98" s="54"/>
      <c r="S98" s="78"/>
      <c r="T98" s="54">
        <f t="shared" si="7"/>
        <v>322.25</v>
      </c>
      <c r="U98" s="54"/>
      <c r="V98" s="170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>
        <f>T98</f>
        <v>322.25</v>
      </c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272"/>
      <c r="BG98" s="305">
        <f t="shared" si="5"/>
        <v>322.25</v>
      </c>
      <c r="BH98" s="301">
        <f t="shared" si="8"/>
        <v>0</v>
      </c>
    </row>
    <row r="99" spans="1:60">
      <c r="A99" s="19" t="s">
        <v>162</v>
      </c>
      <c r="B99" s="4" t="s">
        <v>163</v>
      </c>
      <c r="C99" s="4" t="s">
        <v>164</v>
      </c>
      <c r="D99" s="208"/>
      <c r="E99" s="35"/>
      <c r="F99" s="54"/>
      <c r="G99" s="54"/>
      <c r="H99" s="54"/>
      <c r="I99" s="54">
        <v>492.86</v>
      </c>
      <c r="J99" s="54"/>
      <c r="K99" s="54"/>
      <c r="L99" s="54"/>
      <c r="M99" s="54"/>
      <c r="N99" s="54"/>
      <c r="O99" s="54"/>
      <c r="P99" s="54"/>
      <c r="Q99" s="54"/>
      <c r="R99" s="54"/>
      <c r="S99" s="78"/>
      <c r="T99" s="54">
        <f t="shared" si="7"/>
        <v>492.86</v>
      </c>
      <c r="U99" s="54"/>
      <c r="V99" s="170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>
        <f>T99</f>
        <v>492.86</v>
      </c>
      <c r="BB99" s="54"/>
      <c r="BC99" s="54"/>
      <c r="BD99" s="54"/>
      <c r="BE99" s="54"/>
      <c r="BF99" s="272"/>
      <c r="BG99" s="305">
        <f t="shared" ref="BG99:BG130" si="9">SUM(AD99:BF99)</f>
        <v>492.86</v>
      </c>
      <c r="BH99" s="301">
        <f t="shared" si="8"/>
        <v>0</v>
      </c>
    </row>
    <row r="100" spans="1:60">
      <c r="A100" s="19" t="s">
        <v>165</v>
      </c>
      <c r="B100" s="4" t="s">
        <v>166</v>
      </c>
      <c r="C100" s="4" t="s">
        <v>167</v>
      </c>
      <c r="D100" s="208"/>
      <c r="E100" s="35"/>
      <c r="F100" s="54"/>
      <c r="G100" s="54"/>
      <c r="H100" s="54"/>
      <c r="I100" s="54">
        <v>190</v>
      </c>
      <c r="J100" s="54"/>
      <c r="K100" s="54"/>
      <c r="L100" s="54"/>
      <c r="M100" s="54"/>
      <c r="N100" s="54"/>
      <c r="O100" s="54"/>
      <c r="P100" s="54"/>
      <c r="Q100" s="54"/>
      <c r="R100" s="54"/>
      <c r="S100" s="78"/>
      <c r="T100" s="54">
        <f t="shared" si="7"/>
        <v>190</v>
      </c>
      <c r="U100" s="54"/>
      <c r="V100" s="170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>
        <f>T100</f>
        <v>190</v>
      </c>
      <c r="BB100" s="54"/>
      <c r="BC100" s="54"/>
      <c r="BD100" s="54"/>
      <c r="BE100" s="54"/>
      <c r="BF100" s="272"/>
      <c r="BG100" s="305">
        <f t="shared" si="9"/>
        <v>190</v>
      </c>
      <c r="BH100" s="301">
        <f t="shared" si="8"/>
        <v>0</v>
      </c>
    </row>
    <row r="101" spans="1:60">
      <c r="A101" s="19" t="s">
        <v>165</v>
      </c>
      <c r="B101" s="4" t="s">
        <v>168</v>
      </c>
      <c r="C101" s="4" t="s">
        <v>39</v>
      </c>
      <c r="D101" s="208"/>
      <c r="E101" s="35"/>
      <c r="F101" s="54"/>
      <c r="G101" s="54"/>
      <c r="H101" s="54"/>
      <c r="I101" s="54">
        <v>39</v>
      </c>
      <c r="J101" s="54"/>
      <c r="K101" s="54"/>
      <c r="L101" s="54"/>
      <c r="M101" s="54"/>
      <c r="N101" s="54"/>
      <c r="O101" s="54"/>
      <c r="P101" s="54"/>
      <c r="Q101" s="54"/>
      <c r="R101" s="54"/>
      <c r="S101" s="78"/>
      <c r="T101" s="54">
        <f t="shared" si="7"/>
        <v>39</v>
      </c>
      <c r="U101" s="54"/>
      <c r="V101" s="170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>
        <f>T101</f>
        <v>39</v>
      </c>
      <c r="AH101" s="54"/>
      <c r="AI101" s="54"/>
      <c r="AJ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272"/>
      <c r="BG101" s="305">
        <f t="shared" si="9"/>
        <v>39</v>
      </c>
      <c r="BH101" s="301">
        <f t="shared" si="8"/>
        <v>0</v>
      </c>
    </row>
    <row r="102" spans="1:60">
      <c r="A102" s="19" t="s">
        <v>169</v>
      </c>
      <c r="B102" s="4" t="s">
        <v>119</v>
      </c>
      <c r="C102" s="4" t="s">
        <v>120</v>
      </c>
      <c r="D102" s="208"/>
      <c r="E102" s="35"/>
      <c r="F102" s="54"/>
      <c r="G102" s="54"/>
      <c r="H102" s="54"/>
      <c r="I102" s="54"/>
      <c r="J102" s="54">
        <v>76.16</v>
      </c>
      <c r="K102" s="54"/>
      <c r="L102" s="54"/>
      <c r="M102" s="54"/>
      <c r="N102" s="54"/>
      <c r="O102" s="54"/>
      <c r="P102" s="54"/>
      <c r="Q102" s="54"/>
      <c r="R102" s="54"/>
      <c r="S102" s="78"/>
      <c r="T102" s="54">
        <f t="shared" si="7"/>
        <v>76.16</v>
      </c>
      <c r="U102" s="54"/>
      <c r="V102" s="170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>
        <f>T102</f>
        <v>76.16</v>
      </c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272"/>
      <c r="BG102" s="305">
        <f t="shared" si="9"/>
        <v>76.16</v>
      </c>
      <c r="BH102" s="301">
        <f t="shared" si="8"/>
        <v>0</v>
      </c>
    </row>
    <row r="103" spans="1:60">
      <c r="A103" s="20" t="s">
        <v>169</v>
      </c>
      <c r="B103" s="4" t="s">
        <v>119</v>
      </c>
      <c r="C103" s="126" t="s">
        <v>122</v>
      </c>
      <c r="D103" s="208"/>
      <c r="E103" s="35"/>
      <c r="F103" s="54"/>
      <c r="G103" s="54"/>
      <c r="H103" s="54"/>
      <c r="I103" s="54"/>
      <c r="J103" s="54">
        <v>718.47</v>
      </c>
      <c r="K103" s="54"/>
      <c r="L103" s="54"/>
      <c r="M103" s="54"/>
      <c r="N103" s="54"/>
      <c r="O103" s="54"/>
      <c r="P103" s="54"/>
      <c r="Q103" s="54"/>
      <c r="R103" s="54"/>
      <c r="S103" s="78"/>
      <c r="T103" s="54">
        <f t="shared" si="7"/>
        <v>718.47</v>
      </c>
      <c r="U103" s="54"/>
      <c r="V103" s="170"/>
      <c r="W103" s="54"/>
      <c r="X103" s="54"/>
      <c r="Y103" s="54"/>
      <c r="Z103" s="54"/>
      <c r="AA103" s="54"/>
      <c r="AB103" s="54"/>
      <c r="AC103" s="54"/>
      <c r="AD103" s="54">
        <f>T103</f>
        <v>718.47</v>
      </c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272"/>
      <c r="BG103" s="305">
        <f t="shared" si="9"/>
        <v>718.47</v>
      </c>
      <c r="BH103" s="301">
        <f t="shared" si="8"/>
        <v>0</v>
      </c>
    </row>
    <row r="104" spans="1:60">
      <c r="A104" s="88" t="s">
        <v>169</v>
      </c>
      <c r="B104" s="4" t="s">
        <v>119</v>
      </c>
      <c r="C104" s="4" t="s">
        <v>170</v>
      </c>
      <c r="D104" s="210"/>
      <c r="E104" s="89"/>
      <c r="F104" s="54"/>
      <c r="G104" s="54"/>
      <c r="H104" s="54"/>
      <c r="I104" s="54"/>
      <c r="J104" s="54">
        <v>492.86</v>
      </c>
      <c r="K104" s="54"/>
      <c r="L104" s="54"/>
      <c r="M104" s="54"/>
      <c r="N104" s="54"/>
      <c r="O104" s="54"/>
      <c r="P104" s="54"/>
      <c r="Q104" s="54"/>
      <c r="R104" s="54"/>
      <c r="S104" s="78"/>
      <c r="T104" s="54">
        <f t="shared" si="7"/>
        <v>492.86</v>
      </c>
      <c r="U104" s="54"/>
      <c r="V104" s="170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>
        <f>T104</f>
        <v>492.86</v>
      </c>
      <c r="BB104" s="54"/>
      <c r="BC104" s="54"/>
      <c r="BD104" s="54"/>
      <c r="BE104" s="54"/>
      <c r="BF104" s="272"/>
      <c r="BG104" s="305">
        <f t="shared" si="9"/>
        <v>492.86</v>
      </c>
      <c r="BH104" s="301">
        <f t="shared" si="8"/>
        <v>0</v>
      </c>
    </row>
    <row r="105" spans="1:60">
      <c r="A105" s="19" t="s">
        <v>169</v>
      </c>
      <c r="B105" s="4" t="s">
        <v>118</v>
      </c>
      <c r="C105" s="4" t="s">
        <v>137</v>
      </c>
      <c r="D105" s="208"/>
      <c r="E105" s="35"/>
      <c r="F105" s="54"/>
      <c r="G105" s="54"/>
      <c r="H105" s="54"/>
      <c r="I105" s="54"/>
      <c r="J105" s="54">
        <v>335.88</v>
      </c>
      <c r="K105" s="54"/>
      <c r="L105" s="54"/>
      <c r="M105" s="54"/>
      <c r="N105" s="54"/>
      <c r="O105" s="54"/>
      <c r="P105" s="54"/>
      <c r="Q105" s="54"/>
      <c r="R105" s="54"/>
      <c r="S105" s="78"/>
      <c r="T105" s="54">
        <f t="shared" si="7"/>
        <v>335.88</v>
      </c>
      <c r="U105" s="54"/>
      <c r="V105" s="170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>
        <f>T105</f>
        <v>335.88</v>
      </c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272"/>
      <c r="BG105" s="305">
        <f t="shared" si="9"/>
        <v>335.88</v>
      </c>
      <c r="BH105" s="301">
        <f t="shared" si="8"/>
        <v>0</v>
      </c>
    </row>
    <row r="106" spans="1:60">
      <c r="A106" s="90" t="s">
        <v>171</v>
      </c>
      <c r="B106" s="91" t="s">
        <v>113</v>
      </c>
      <c r="C106" s="91" t="s">
        <v>134</v>
      </c>
      <c r="D106" s="211"/>
      <c r="E106" s="92"/>
      <c r="F106" s="54"/>
      <c r="G106" s="54"/>
      <c r="H106" s="54"/>
      <c r="I106" s="54"/>
      <c r="J106" s="54">
        <v>11</v>
      </c>
      <c r="K106" s="54"/>
      <c r="L106" s="54"/>
      <c r="M106" s="54"/>
      <c r="N106" s="54"/>
      <c r="O106" s="54"/>
      <c r="P106" s="54"/>
      <c r="Q106" s="54"/>
      <c r="R106" s="54"/>
      <c r="S106" s="78"/>
      <c r="T106" s="54">
        <f t="shared" si="7"/>
        <v>11</v>
      </c>
      <c r="U106" s="54"/>
      <c r="V106" s="170"/>
      <c r="W106" s="54"/>
      <c r="X106" s="54"/>
      <c r="Y106" s="54"/>
      <c r="Z106" s="54"/>
      <c r="AA106" s="54"/>
      <c r="AB106" s="54"/>
      <c r="AC106" s="54"/>
      <c r="AD106" s="54"/>
      <c r="AE106" s="54"/>
      <c r="AF106" s="54">
        <f>T106</f>
        <v>11</v>
      </c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272"/>
      <c r="BG106" s="305">
        <f t="shared" si="9"/>
        <v>11</v>
      </c>
      <c r="BH106" s="301">
        <f t="shared" si="8"/>
        <v>0</v>
      </c>
    </row>
    <row r="107" spans="1:60" ht="25.5">
      <c r="A107" s="19" t="s">
        <v>172</v>
      </c>
      <c r="B107" s="4" t="s">
        <v>173</v>
      </c>
      <c r="C107" s="4" t="s">
        <v>153</v>
      </c>
      <c r="D107" s="208"/>
      <c r="E107" s="35"/>
      <c r="F107" s="54"/>
      <c r="G107" s="54"/>
      <c r="H107" s="54"/>
      <c r="I107" s="54"/>
      <c r="J107" s="54">
        <v>348</v>
      </c>
      <c r="K107" s="54"/>
      <c r="L107" s="54"/>
      <c r="M107" s="54"/>
      <c r="N107" s="54"/>
      <c r="O107" s="54"/>
      <c r="P107" s="54"/>
      <c r="Q107" s="54"/>
      <c r="R107" s="54"/>
      <c r="S107" s="78"/>
      <c r="T107" s="54">
        <f t="shared" si="7"/>
        <v>348</v>
      </c>
      <c r="U107" s="54"/>
      <c r="V107" s="170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>
        <f>T107</f>
        <v>348</v>
      </c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272"/>
      <c r="BG107" s="305">
        <f t="shared" si="9"/>
        <v>348</v>
      </c>
      <c r="BH107" s="301">
        <f t="shared" si="8"/>
        <v>0</v>
      </c>
    </row>
    <row r="108" spans="1:60">
      <c r="A108" s="19" t="s">
        <v>174</v>
      </c>
      <c r="B108" s="4" t="s">
        <v>113</v>
      </c>
      <c r="C108" s="4" t="s">
        <v>175</v>
      </c>
      <c r="D108" s="3"/>
      <c r="E108" s="35"/>
      <c r="F108" s="54"/>
      <c r="G108" s="54"/>
      <c r="H108" s="54"/>
      <c r="I108" s="54"/>
      <c r="J108" s="54"/>
      <c r="K108" s="54">
        <v>15</v>
      </c>
      <c r="L108" s="54"/>
      <c r="M108" s="54"/>
      <c r="N108" s="54"/>
      <c r="O108" s="54"/>
      <c r="P108" s="54"/>
      <c r="Q108" s="54"/>
      <c r="R108" s="54"/>
      <c r="S108" s="78"/>
      <c r="T108" s="54">
        <f t="shared" si="7"/>
        <v>15</v>
      </c>
      <c r="U108" s="54"/>
      <c r="V108" s="170"/>
      <c r="W108" s="54"/>
      <c r="X108" s="54"/>
      <c r="Y108" s="54"/>
      <c r="Z108" s="54"/>
      <c r="AA108" s="54"/>
      <c r="AB108" s="54"/>
      <c r="AC108" s="54"/>
      <c r="AD108" s="54"/>
      <c r="AE108" s="54"/>
      <c r="AF108" s="54">
        <f>T108</f>
        <v>15</v>
      </c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272"/>
      <c r="BG108" s="305">
        <f t="shared" si="9"/>
        <v>15</v>
      </c>
      <c r="BH108" s="301">
        <f t="shared" si="8"/>
        <v>0</v>
      </c>
    </row>
    <row r="109" spans="1:60">
      <c r="A109" s="19" t="s">
        <v>176</v>
      </c>
      <c r="B109" s="4" t="s">
        <v>119</v>
      </c>
      <c r="C109" s="4" t="s">
        <v>122</v>
      </c>
      <c r="D109" s="208"/>
      <c r="E109" s="35"/>
      <c r="F109" s="54"/>
      <c r="G109" s="54"/>
      <c r="H109" s="54"/>
      <c r="I109" s="54"/>
      <c r="J109" s="54"/>
      <c r="K109" s="54">
        <v>718.47</v>
      </c>
      <c r="L109" s="54"/>
      <c r="M109" s="54"/>
      <c r="N109" s="54"/>
      <c r="O109" s="54"/>
      <c r="P109" s="54"/>
      <c r="Q109" s="54"/>
      <c r="R109" s="54"/>
      <c r="S109" s="78"/>
      <c r="T109" s="54">
        <f t="shared" si="7"/>
        <v>718.47</v>
      </c>
      <c r="U109" s="54"/>
      <c r="V109" s="170"/>
      <c r="W109" s="54"/>
      <c r="X109" s="54"/>
      <c r="Y109" s="54"/>
      <c r="Z109" s="54"/>
      <c r="AA109" s="54"/>
      <c r="AB109" s="54"/>
      <c r="AC109" s="54"/>
      <c r="AD109" s="54">
        <f>T109</f>
        <v>718.47</v>
      </c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272"/>
      <c r="BG109" s="305">
        <f t="shared" si="9"/>
        <v>718.47</v>
      </c>
      <c r="BH109" s="301">
        <f t="shared" si="8"/>
        <v>0</v>
      </c>
    </row>
    <row r="110" spans="1:60">
      <c r="A110" s="19" t="s">
        <v>176</v>
      </c>
      <c r="B110" s="4" t="s">
        <v>119</v>
      </c>
      <c r="C110" s="4" t="s">
        <v>177</v>
      </c>
      <c r="D110" s="208"/>
      <c r="E110" s="35"/>
      <c r="F110" s="54"/>
      <c r="G110" s="54"/>
      <c r="H110" s="54"/>
      <c r="I110" s="54"/>
      <c r="J110" s="54"/>
      <c r="K110" s="54">
        <v>429.6</v>
      </c>
      <c r="L110" s="54"/>
      <c r="M110" s="54"/>
      <c r="N110" s="54"/>
      <c r="O110" s="54"/>
      <c r="P110" s="54"/>
      <c r="Q110" s="54"/>
      <c r="R110" s="54"/>
      <c r="S110" s="78"/>
      <c r="T110" s="54">
        <f t="shared" si="7"/>
        <v>429.6</v>
      </c>
      <c r="U110" s="54"/>
      <c r="V110" s="170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>
        <f>T110</f>
        <v>429.6</v>
      </c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272"/>
      <c r="BG110" s="305">
        <f t="shared" si="9"/>
        <v>429.6</v>
      </c>
      <c r="BH110" s="301">
        <f t="shared" si="8"/>
        <v>0</v>
      </c>
    </row>
    <row r="111" spans="1:60">
      <c r="A111" s="19" t="s">
        <v>176</v>
      </c>
      <c r="B111" s="4" t="s">
        <v>119</v>
      </c>
      <c r="C111" s="4" t="s">
        <v>120</v>
      </c>
      <c r="D111" s="208"/>
      <c r="E111" s="35"/>
      <c r="F111" s="54"/>
      <c r="G111" s="54"/>
      <c r="H111" s="54"/>
      <c r="I111" s="54"/>
      <c r="J111" s="54"/>
      <c r="K111" s="54">
        <v>76.16</v>
      </c>
      <c r="L111" s="54"/>
      <c r="M111" s="54"/>
      <c r="N111" s="54"/>
      <c r="O111" s="54"/>
      <c r="P111" s="54"/>
      <c r="Q111" s="54"/>
      <c r="R111" s="54"/>
      <c r="S111" s="78"/>
      <c r="T111" s="54">
        <f t="shared" si="7"/>
        <v>76.16</v>
      </c>
      <c r="U111" s="54"/>
      <c r="V111" s="170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>
        <v>76.16</v>
      </c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272"/>
      <c r="BG111" s="305">
        <f t="shared" si="9"/>
        <v>76.16</v>
      </c>
      <c r="BH111" s="301">
        <f t="shared" si="8"/>
        <v>0</v>
      </c>
    </row>
    <row r="112" spans="1:60">
      <c r="A112" s="19" t="s">
        <v>178</v>
      </c>
      <c r="B112" s="4" t="s">
        <v>179</v>
      </c>
      <c r="C112" s="4" t="s">
        <v>180</v>
      </c>
      <c r="D112" s="208"/>
      <c r="E112" s="35"/>
      <c r="F112" s="54"/>
      <c r="G112" s="54"/>
      <c r="H112" s="54"/>
      <c r="I112" s="54"/>
      <c r="J112" s="54"/>
      <c r="K112" s="54">
        <v>102</v>
      </c>
      <c r="L112" s="54"/>
      <c r="M112" s="54"/>
      <c r="N112" s="54"/>
      <c r="O112" s="54"/>
      <c r="P112" s="54"/>
      <c r="Q112" s="54"/>
      <c r="R112" s="54"/>
      <c r="S112" s="78"/>
      <c r="T112" s="54">
        <f t="shared" si="7"/>
        <v>102</v>
      </c>
      <c r="U112" s="54"/>
      <c r="V112" s="170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>
        <f>T112</f>
        <v>102</v>
      </c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272"/>
      <c r="BG112" s="305">
        <f t="shared" si="9"/>
        <v>102</v>
      </c>
      <c r="BH112" s="301">
        <f t="shared" si="8"/>
        <v>0</v>
      </c>
    </row>
    <row r="113" spans="1:60">
      <c r="A113" s="19" t="s">
        <v>181</v>
      </c>
      <c r="B113" s="4" t="s">
        <v>182</v>
      </c>
      <c r="C113" s="4" t="s">
        <v>183</v>
      </c>
      <c r="D113" s="208"/>
      <c r="E113" s="35"/>
      <c r="F113" s="54"/>
      <c r="G113" s="54"/>
      <c r="H113" s="54"/>
      <c r="I113" s="54"/>
      <c r="J113" s="54"/>
      <c r="K113" s="54">
        <v>130</v>
      </c>
      <c r="L113" s="54"/>
      <c r="M113" s="54"/>
      <c r="N113" s="54"/>
      <c r="O113" s="54"/>
      <c r="P113" s="54"/>
      <c r="Q113" s="54"/>
      <c r="R113" s="54"/>
      <c r="S113" s="78"/>
      <c r="T113" s="54">
        <f t="shared" si="7"/>
        <v>130</v>
      </c>
      <c r="U113" s="54"/>
      <c r="V113" s="170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>
        <f>T113</f>
        <v>130</v>
      </c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272"/>
      <c r="BG113" s="305">
        <f t="shared" si="9"/>
        <v>130</v>
      </c>
      <c r="BH113" s="301">
        <f t="shared" si="8"/>
        <v>0</v>
      </c>
    </row>
    <row r="114" spans="1:60">
      <c r="A114" s="19" t="s">
        <v>181</v>
      </c>
      <c r="B114" s="4" t="s">
        <v>118</v>
      </c>
      <c r="C114" s="4" t="s">
        <v>137</v>
      </c>
      <c r="D114" s="208"/>
      <c r="E114" s="35"/>
      <c r="F114" s="54"/>
      <c r="G114" s="54"/>
      <c r="H114" s="54"/>
      <c r="I114" s="54"/>
      <c r="J114" s="54"/>
      <c r="K114" s="54">
        <v>260</v>
      </c>
      <c r="L114" s="54"/>
      <c r="M114" s="54"/>
      <c r="N114" s="54"/>
      <c r="O114" s="54"/>
      <c r="P114" s="54"/>
      <c r="Q114" s="54"/>
      <c r="R114" s="54"/>
      <c r="S114" s="78"/>
      <c r="T114" s="54">
        <f t="shared" si="7"/>
        <v>260</v>
      </c>
      <c r="U114" s="54"/>
      <c r="V114" s="170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>
        <f>T114</f>
        <v>260</v>
      </c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272"/>
      <c r="BG114" s="305">
        <f t="shared" si="9"/>
        <v>260</v>
      </c>
      <c r="BH114" s="301">
        <f t="shared" si="8"/>
        <v>0</v>
      </c>
    </row>
    <row r="115" spans="1:60">
      <c r="A115" s="19" t="s">
        <v>184</v>
      </c>
      <c r="B115" s="4" t="s">
        <v>110</v>
      </c>
      <c r="C115" s="4" t="s">
        <v>185</v>
      </c>
      <c r="D115" s="208"/>
      <c r="E115" s="35"/>
      <c r="F115" s="54"/>
      <c r="G115" s="54"/>
      <c r="H115" s="54"/>
      <c r="I115" s="54"/>
      <c r="J115" s="54"/>
      <c r="K115" s="54">
        <v>93.99</v>
      </c>
      <c r="L115" s="54"/>
      <c r="M115" s="54"/>
      <c r="N115" s="54"/>
      <c r="O115" s="54"/>
      <c r="P115" s="54"/>
      <c r="Q115" s="54"/>
      <c r="R115" s="54"/>
      <c r="S115" s="78"/>
      <c r="T115" s="54">
        <f t="shared" si="7"/>
        <v>93.99</v>
      </c>
      <c r="U115" s="54"/>
      <c r="V115" s="170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>
        <f>T115</f>
        <v>93.99</v>
      </c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  <c r="BB115" s="54"/>
      <c r="BC115" s="54"/>
      <c r="BD115" s="54"/>
      <c r="BE115" s="54"/>
      <c r="BF115" s="272"/>
      <c r="BG115" s="305">
        <f t="shared" si="9"/>
        <v>93.99</v>
      </c>
      <c r="BH115" s="301">
        <f t="shared" si="8"/>
        <v>0</v>
      </c>
    </row>
    <row r="116" spans="1:60">
      <c r="A116" s="19" t="s">
        <v>186</v>
      </c>
      <c r="B116" s="4" t="s">
        <v>187</v>
      </c>
      <c r="C116" s="4" t="s">
        <v>41</v>
      </c>
      <c r="D116" s="208"/>
      <c r="E116" s="35"/>
      <c r="F116" s="54"/>
      <c r="G116" s="54"/>
      <c r="H116" s="54"/>
      <c r="I116" s="54"/>
      <c r="J116" s="54"/>
      <c r="K116" s="54">
        <v>2044.56</v>
      </c>
      <c r="L116" s="54"/>
      <c r="M116" s="54"/>
      <c r="N116" s="54"/>
      <c r="O116" s="54"/>
      <c r="P116" s="54"/>
      <c r="Q116" s="54"/>
      <c r="R116" s="54"/>
      <c r="S116" s="78"/>
      <c r="T116" s="54">
        <f t="shared" si="7"/>
        <v>2044.56</v>
      </c>
      <c r="U116" s="54"/>
      <c r="V116" s="170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>
        <f>T116</f>
        <v>2044.56</v>
      </c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272"/>
      <c r="BG116" s="305">
        <f t="shared" si="9"/>
        <v>2044.56</v>
      </c>
      <c r="BH116" s="301">
        <f t="shared" si="8"/>
        <v>0</v>
      </c>
    </row>
    <row r="117" spans="1:60">
      <c r="A117" s="19" t="s">
        <v>188</v>
      </c>
      <c r="B117" s="4" t="s">
        <v>189</v>
      </c>
      <c r="C117" s="4" t="s">
        <v>190</v>
      </c>
      <c r="D117" s="208"/>
      <c r="E117" s="35"/>
      <c r="F117" s="54"/>
      <c r="G117" s="54"/>
      <c r="H117" s="54"/>
      <c r="I117" s="54"/>
      <c r="J117" s="54"/>
      <c r="K117" s="54">
        <v>648</v>
      </c>
      <c r="L117" s="54"/>
      <c r="M117" s="54"/>
      <c r="N117" s="54"/>
      <c r="O117" s="54"/>
      <c r="P117" s="54"/>
      <c r="Q117" s="54"/>
      <c r="R117" s="54"/>
      <c r="S117" s="78"/>
      <c r="T117" s="54">
        <f t="shared" si="7"/>
        <v>648</v>
      </c>
      <c r="U117" s="54"/>
      <c r="V117" s="170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>
        <f>T117</f>
        <v>648</v>
      </c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272"/>
      <c r="BG117" s="305">
        <f t="shared" si="9"/>
        <v>648</v>
      </c>
      <c r="BH117" s="301">
        <f t="shared" si="8"/>
        <v>0</v>
      </c>
    </row>
    <row r="118" spans="1:60">
      <c r="A118" s="19" t="s">
        <v>191</v>
      </c>
      <c r="B118" s="4" t="s">
        <v>129</v>
      </c>
      <c r="C118" s="128" t="s">
        <v>130</v>
      </c>
      <c r="D118" s="3"/>
      <c r="E118" s="35"/>
      <c r="F118" s="54"/>
      <c r="G118" s="54"/>
      <c r="H118" s="54"/>
      <c r="I118" s="54"/>
      <c r="J118" s="54"/>
      <c r="K118" s="54">
        <v>1167.1400000000001</v>
      </c>
      <c r="L118" s="54"/>
      <c r="M118" s="54"/>
      <c r="N118" s="54"/>
      <c r="O118" s="54"/>
      <c r="P118" s="54"/>
      <c r="Q118" s="54"/>
      <c r="R118" s="54"/>
      <c r="S118" s="78"/>
      <c r="T118" s="54">
        <f t="shared" si="7"/>
        <v>1167.1400000000001</v>
      </c>
      <c r="U118" s="54"/>
      <c r="V118" s="170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>
        <f>T118</f>
        <v>1167.1400000000001</v>
      </c>
      <c r="AX118" s="54"/>
      <c r="AY118" s="54"/>
      <c r="AZ118" s="54"/>
      <c r="BA118" s="54"/>
      <c r="BB118" s="54"/>
      <c r="BC118" s="54"/>
      <c r="BD118" s="54"/>
      <c r="BE118" s="54"/>
      <c r="BF118" s="272"/>
      <c r="BG118" s="305">
        <f t="shared" si="9"/>
        <v>1167.1400000000001</v>
      </c>
      <c r="BH118" s="301">
        <f t="shared" si="8"/>
        <v>0</v>
      </c>
    </row>
    <row r="119" spans="1:60">
      <c r="A119" s="19" t="s">
        <v>192</v>
      </c>
      <c r="B119" s="4" t="s">
        <v>152</v>
      </c>
      <c r="C119" s="4" t="s">
        <v>153</v>
      </c>
      <c r="D119" s="208"/>
      <c r="E119" s="35"/>
      <c r="F119" s="54"/>
      <c r="G119" s="54"/>
      <c r="H119" s="54"/>
      <c r="I119" s="54"/>
      <c r="J119" s="54"/>
      <c r="K119" s="54"/>
      <c r="L119" s="54">
        <v>132</v>
      </c>
      <c r="M119" s="54"/>
      <c r="N119" s="54"/>
      <c r="O119" s="54"/>
      <c r="P119" s="54"/>
      <c r="Q119" s="54"/>
      <c r="R119" s="54"/>
      <c r="S119" s="78"/>
      <c r="T119" s="54">
        <f t="shared" si="7"/>
        <v>132</v>
      </c>
      <c r="U119" s="54"/>
      <c r="V119" s="170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>
        <f>T119</f>
        <v>132</v>
      </c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272"/>
      <c r="BG119" s="305">
        <f t="shared" si="9"/>
        <v>132</v>
      </c>
      <c r="BH119" s="301">
        <f t="shared" si="8"/>
        <v>0</v>
      </c>
    </row>
    <row r="120" spans="1:60">
      <c r="A120" s="19" t="s">
        <v>193</v>
      </c>
      <c r="B120" s="4" t="s">
        <v>138</v>
      </c>
      <c r="C120" s="4" t="s">
        <v>194</v>
      </c>
      <c r="D120" s="208"/>
      <c r="E120" s="66"/>
      <c r="F120" s="54"/>
      <c r="G120" s="54"/>
      <c r="H120" s="54"/>
      <c r="I120" s="54"/>
      <c r="J120" s="54"/>
      <c r="K120" s="54"/>
      <c r="L120" s="54">
        <v>48</v>
      </c>
      <c r="M120" s="54"/>
      <c r="N120" s="54"/>
      <c r="O120" s="54"/>
      <c r="P120" s="54"/>
      <c r="Q120" s="54"/>
      <c r="R120" s="54"/>
      <c r="S120" s="78"/>
      <c r="T120" s="54">
        <f t="shared" si="7"/>
        <v>48</v>
      </c>
      <c r="U120" s="54"/>
      <c r="V120" s="170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>
        <f>T120</f>
        <v>48</v>
      </c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272"/>
      <c r="BG120" s="305">
        <f t="shared" si="9"/>
        <v>48</v>
      </c>
      <c r="BH120" s="301">
        <f t="shared" si="8"/>
        <v>0</v>
      </c>
    </row>
    <row r="121" spans="1:60">
      <c r="A121" s="19" t="s">
        <v>195</v>
      </c>
      <c r="B121" s="4" t="s">
        <v>113</v>
      </c>
      <c r="C121" s="4" t="s">
        <v>134</v>
      </c>
      <c r="D121" s="209"/>
      <c r="E121" s="66"/>
      <c r="F121" s="54"/>
      <c r="G121" s="54"/>
      <c r="H121" s="54"/>
      <c r="I121" s="54"/>
      <c r="J121" s="54"/>
      <c r="K121" s="54"/>
      <c r="L121" s="54">
        <v>15</v>
      </c>
      <c r="M121" s="54"/>
      <c r="N121" s="54"/>
      <c r="O121" s="54"/>
      <c r="P121" s="54"/>
      <c r="Q121" s="54"/>
      <c r="R121" s="54"/>
      <c r="S121" s="78"/>
      <c r="T121" s="54">
        <f t="shared" si="7"/>
        <v>15</v>
      </c>
      <c r="U121" s="54"/>
      <c r="V121" s="170"/>
      <c r="W121" s="54"/>
      <c r="X121" s="54"/>
      <c r="Y121" s="54"/>
      <c r="Z121" s="54"/>
      <c r="AA121" s="54"/>
      <c r="AB121" s="54"/>
      <c r="AC121" s="54"/>
      <c r="AD121" s="54"/>
      <c r="AE121" s="54"/>
      <c r="AF121" s="54">
        <f>T121</f>
        <v>15</v>
      </c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272"/>
      <c r="BG121" s="305">
        <f t="shared" si="9"/>
        <v>15</v>
      </c>
      <c r="BH121" s="301">
        <f t="shared" si="8"/>
        <v>0</v>
      </c>
    </row>
    <row r="122" spans="1:60">
      <c r="A122" s="19" t="s">
        <v>98</v>
      </c>
      <c r="B122" s="4" t="s">
        <v>119</v>
      </c>
      <c r="C122" s="4" t="s">
        <v>122</v>
      </c>
      <c r="D122" s="208"/>
      <c r="E122" s="35"/>
      <c r="F122" s="54"/>
      <c r="G122" s="54"/>
      <c r="H122" s="54"/>
      <c r="I122" s="54"/>
      <c r="J122" s="54"/>
      <c r="K122" s="54"/>
      <c r="L122" s="54">
        <v>718.47</v>
      </c>
      <c r="M122" s="54"/>
      <c r="N122" s="54"/>
      <c r="O122" s="54"/>
      <c r="P122" s="54"/>
      <c r="Q122" s="54"/>
      <c r="R122" s="54"/>
      <c r="S122" s="78"/>
      <c r="T122" s="54">
        <f t="shared" si="7"/>
        <v>718.47</v>
      </c>
      <c r="U122" s="54"/>
      <c r="V122" s="170"/>
      <c r="W122" s="54"/>
      <c r="X122" s="54"/>
      <c r="Y122" s="54"/>
      <c r="Z122" s="54"/>
      <c r="AA122" s="54"/>
      <c r="AB122" s="54"/>
      <c r="AC122" s="54"/>
      <c r="AD122" s="54">
        <f>T122</f>
        <v>718.47</v>
      </c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272"/>
      <c r="BG122" s="305">
        <f t="shared" si="9"/>
        <v>718.47</v>
      </c>
      <c r="BH122" s="301">
        <f t="shared" si="8"/>
        <v>0</v>
      </c>
    </row>
    <row r="123" spans="1:60">
      <c r="A123" s="19" t="s">
        <v>196</v>
      </c>
      <c r="B123" s="4" t="s">
        <v>118</v>
      </c>
      <c r="C123" s="4" t="s">
        <v>137</v>
      </c>
      <c r="D123" s="208"/>
      <c r="E123" s="66"/>
      <c r="F123" s="54"/>
      <c r="G123" s="54"/>
      <c r="H123" s="54"/>
      <c r="I123" s="54"/>
      <c r="J123" s="54"/>
      <c r="K123" s="54"/>
      <c r="L123" s="54">
        <v>389.63</v>
      </c>
      <c r="M123" s="54"/>
      <c r="N123" s="54"/>
      <c r="O123" s="54"/>
      <c r="P123" s="54"/>
      <c r="Q123" s="54"/>
      <c r="R123" s="54"/>
      <c r="S123" s="78"/>
      <c r="T123" s="54">
        <f t="shared" si="7"/>
        <v>389.63</v>
      </c>
      <c r="U123" s="54"/>
      <c r="V123" s="170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>
        <f>T123</f>
        <v>389.63</v>
      </c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272"/>
      <c r="BG123" s="305">
        <f t="shared" si="9"/>
        <v>389.63</v>
      </c>
      <c r="BH123" s="301">
        <f t="shared" si="8"/>
        <v>0</v>
      </c>
    </row>
    <row r="124" spans="1:60">
      <c r="A124" s="19" t="s">
        <v>197</v>
      </c>
      <c r="B124" s="4" t="s">
        <v>198</v>
      </c>
      <c r="C124" s="4" t="s">
        <v>199</v>
      </c>
      <c r="D124" s="208"/>
      <c r="E124" s="35"/>
      <c r="F124" s="54"/>
      <c r="G124" s="54"/>
      <c r="H124" s="54"/>
      <c r="I124" s="54"/>
      <c r="J124" s="54"/>
      <c r="K124" s="54"/>
      <c r="L124" s="54">
        <v>250</v>
      </c>
      <c r="M124" s="54"/>
      <c r="N124" s="54"/>
      <c r="O124" s="54"/>
      <c r="P124" s="54"/>
      <c r="Q124" s="54"/>
      <c r="R124" s="54"/>
      <c r="S124" s="78"/>
      <c r="T124" s="54">
        <f t="shared" si="7"/>
        <v>250</v>
      </c>
      <c r="U124" s="54"/>
      <c r="V124" s="170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>
        <f>T124</f>
        <v>250</v>
      </c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272"/>
      <c r="BG124" s="305">
        <f t="shared" si="9"/>
        <v>250</v>
      </c>
      <c r="BH124" s="301">
        <f t="shared" si="8"/>
        <v>0</v>
      </c>
    </row>
    <row r="125" spans="1:60">
      <c r="A125" s="19" t="s">
        <v>197</v>
      </c>
      <c r="B125" s="4" t="s">
        <v>200</v>
      </c>
      <c r="C125" s="4" t="s">
        <v>201</v>
      </c>
      <c r="D125" s="208"/>
      <c r="E125" s="66"/>
      <c r="F125" s="54"/>
      <c r="G125" s="54"/>
      <c r="H125" s="54"/>
      <c r="I125" s="54"/>
      <c r="J125" s="54"/>
      <c r="K125" s="54"/>
      <c r="L125" s="54">
        <v>5000</v>
      </c>
      <c r="M125" s="54"/>
      <c r="N125" s="54"/>
      <c r="O125" s="54"/>
      <c r="P125" s="54"/>
      <c r="Q125" s="54"/>
      <c r="R125" s="54"/>
      <c r="S125" s="78"/>
      <c r="T125" s="314">
        <f t="shared" si="7"/>
        <v>5000</v>
      </c>
      <c r="U125" s="54"/>
      <c r="V125" s="170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272">
        <f>T125</f>
        <v>5000</v>
      </c>
      <c r="BG125" s="305">
        <f t="shared" si="9"/>
        <v>5000</v>
      </c>
      <c r="BH125" s="301">
        <f t="shared" si="8"/>
        <v>0</v>
      </c>
    </row>
    <row r="126" spans="1:60">
      <c r="A126" s="19" t="s">
        <v>197</v>
      </c>
      <c r="B126" s="4" t="s">
        <v>163</v>
      </c>
      <c r="C126" s="4" t="s">
        <v>164</v>
      </c>
      <c r="D126" s="217"/>
      <c r="E126" s="35"/>
      <c r="F126" s="54"/>
      <c r="G126" s="54"/>
      <c r="H126" s="54"/>
      <c r="I126" s="54"/>
      <c r="J126" s="54"/>
      <c r="K126" s="54"/>
      <c r="L126" s="54">
        <v>49.77</v>
      </c>
      <c r="M126" s="54"/>
      <c r="N126" s="54"/>
      <c r="O126" s="54"/>
      <c r="P126" s="54"/>
      <c r="Q126" s="54"/>
      <c r="R126" s="54"/>
      <c r="S126" s="78"/>
      <c r="T126" s="54">
        <f t="shared" si="7"/>
        <v>49.77</v>
      </c>
      <c r="U126" s="54"/>
      <c r="V126" s="170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>
        <f>T126</f>
        <v>49.77</v>
      </c>
      <c r="BB126" s="54"/>
      <c r="BC126" s="54"/>
      <c r="BD126" s="54"/>
      <c r="BE126" s="54"/>
      <c r="BF126" s="272"/>
      <c r="BG126" s="305">
        <f t="shared" si="9"/>
        <v>49.77</v>
      </c>
      <c r="BH126" s="301">
        <f t="shared" si="8"/>
        <v>0</v>
      </c>
    </row>
    <row r="127" spans="1:60">
      <c r="A127" s="19" t="s">
        <v>202</v>
      </c>
      <c r="B127" s="4" t="s">
        <v>166</v>
      </c>
      <c r="C127" s="4" t="s">
        <v>203</v>
      </c>
      <c r="D127" s="208"/>
      <c r="E127" s="66"/>
      <c r="F127" s="54"/>
      <c r="G127" s="54"/>
      <c r="H127" s="54"/>
      <c r="I127" s="54"/>
      <c r="J127" s="54"/>
      <c r="K127" s="54"/>
      <c r="L127" s="54">
        <v>500</v>
      </c>
      <c r="M127" s="54"/>
      <c r="N127" s="54"/>
      <c r="O127" s="54"/>
      <c r="P127" s="54"/>
      <c r="Q127" s="54"/>
      <c r="R127" s="54"/>
      <c r="S127" s="78"/>
      <c r="T127" s="54">
        <f t="shared" si="7"/>
        <v>500</v>
      </c>
      <c r="U127" s="54"/>
      <c r="V127" s="170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>
        <f>T127</f>
        <v>500</v>
      </c>
      <c r="AU127" s="54"/>
      <c r="AV127" s="54"/>
      <c r="AW127" s="54"/>
      <c r="AX127" s="54"/>
      <c r="AY127" s="54"/>
      <c r="AZ127" s="54"/>
      <c r="BA127" s="54"/>
      <c r="BB127" s="54"/>
      <c r="BC127" s="54"/>
      <c r="BD127" s="54"/>
      <c r="BE127" s="54"/>
      <c r="BF127" s="272"/>
      <c r="BG127" s="305">
        <f t="shared" si="9"/>
        <v>500</v>
      </c>
      <c r="BH127" s="301">
        <f t="shared" si="8"/>
        <v>0</v>
      </c>
    </row>
    <row r="128" spans="1:60">
      <c r="A128" s="19" t="s">
        <v>204</v>
      </c>
      <c r="B128" s="4" t="s">
        <v>205</v>
      </c>
      <c r="C128" s="4" t="s">
        <v>206</v>
      </c>
      <c r="D128" s="217"/>
      <c r="E128" s="35"/>
      <c r="F128" s="54"/>
      <c r="G128" s="54"/>
      <c r="H128" s="54"/>
      <c r="I128" s="54"/>
      <c r="J128" s="54"/>
      <c r="K128" s="54"/>
      <c r="L128" s="54">
        <v>197.2</v>
      </c>
      <c r="M128" s="54"/>
      <c r="N128" s="54"/>
      <c r="O128" s="54"/>
      <c r="P128" s="54"/>
      <c r="Q128" s="54"/>
      <c r="R128" s="54"/>
      <c r="S128" s="78"/>
      <c r="T128" s="54">
        <f t="shared" si="7"/>
        <v>197.2</v>
      </c>
      <c r="U128" s="54"/>
      <c r="V128" s="170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>
        <f>T128</f>
        <v>197.2</v>
      </c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272"/>
      <c r="BG128" s="305">
        <f t="shared" si="9"/>
        <v>197.2</v>
      </c>
      <c r="BH128" s="301">
        <f t="shared" si="8"/>
        <v>0</v>
      </c>
    </row>
    <row r="129" spans="1:60">
      <c r="A129" s="19" t="s">
        <v>207</v>
      </c>
      <c r="B129" s="218" t="s">
        <v>129</v>
      </c>
      <c r="C129" s="4" t="s">
        <v>130</v>
      </c>
      <c r="D129" s="217"/>
      <c r="E129" s="35"/>
      <c r="F129" s="54"/>
      <c r="G129" s="54"/>
      <c r="H129" s="54"/>
      <c r="I129" s="54"/>
      <c r="J129" s="54"/>
      <c r="K129" s="54"/>
      <c r="L129" s="54">
        <v>771.08</v>
      </c>
      <c r="M129" s="54"/>
      <c r="N129" s="54"/>
      <c r="O129" s="54"/>
      <c r="P129" s="54"/>
      <c r="Q129" s="54"/>
      <c r="R129" s="54"/>
      <c r="S129" s="78"/>
      <c r="T129" s="54">
        <f t="shared" si="7"/>
        <v>771.08</v>
      </c>
      <c r="U129" s="54"/>
      <c r="V129" s="170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>
        <f>T129</f>
        <v>771.08</v>
      </c>
      <c r="AY129" s="54"/>
      <c r="AZ129" s="54"/>
      <c r="BA129" s="54"/>
      <c r="BB129" s="54"/>
      <c r="BC129" s="54"/>
      <c r="BD129" s="54"/>
      <c r="BE129" s="54"/>
      <c r="BF129" s="272"/>
      <c r="BG129" s="305">
        <f t="shared" si="9"/>
        <v>771.08</v>
      </c>
      <c r="BH129" s="301">
        <f t="shared" si="8"/>
        <v>0</v>
      </c>
    </row>
    <row r="130" spans="1:60">
      <c r="A130" s="189" t="s">
        <v>100</v>
      </c>
      <c r="B130" s="169" t="s">
        <v>208</v>
      </c>
      <c r="C130" s="119" t="s">
        <v>209</v>
      </c>
      <c r="D130" s="217"/>
      <c r="E130" s="35"/>
      <c r="F130" s="54"/>
      <c r="G130" s="54"/>
      <c r="H130" s="54"/>
      <c r="I130" s="54"/>
      <c r="J130" s="54"/>
      <c r="K130" s="54"/>
      <c r="L130" s="54">
        <v>804</v>
      </c>
      <c r="M130" s="54"/>
      <c r="N130" s="54"/>
      <c r="O130" s="54"/>
      <c r="P130" s="54"/>
      <c r="Q130" s="54"/>
      <c r="R130" s="54"/>
      <c r="S130" s="78"/>
      <c r="T130" s="54">
        <f t="shared" si="7"/>
        <v>804</v>
      </c>
      <c r="U130" s="54"/>
      <c r="V130" s="170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>
        <f>L130</f>
        <v>804</v>
      </c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  <c r="BA130" s="54"/>
      <c r="BB130" s="54"/>
      <c r="BC130" s="54"/>
      <c r="BD130" s="54"/>
      <c r="BE130" s="54"/>
      <c r="BF130" s="272"/>
      <c r="BG130" s="305">
        <f t="shared" si="9"/>
        <v>804</v>
      </c>
      <c r="BH130" s="301">
        <f t="shared" si="8"/>
        <v>0</v>
      </c>
    </row>
    <row r="131" spans="1:60">
      <c r="A131" s="189" t="s">
        <v>100</v>
      </c>
      <c r="B131" s="169" t="s">
        <v>138</v>
      </c>
      <c r="C131" s="119" t="s">
        <v>194</v>
      </c>
      <c r="D131" s="208"/>
      <c r="E131" s="35"/>
      <c r="F131" s="54"/>
      <c r="G131" s="54"/>
      <c r="H131" s="54"/>
      <c r="I131" s="54"/>
      <c r="J131" s="54"/>
      <c r="K131" s="54"/>
      <c r="L131" s="54">
        <v>48</v>
      </c>
      <c r="M131" s="54"/>
      <c r="N131" s="54"/>
      <c r="O131" s="54"/>
      <c r="P131" s="54"/>
      <c r="Q131" s="54"/>
      <c r="R131" s="54"/>
      <c r="S131" s="78"/>
      <c r="T131" s="54">
        <f t="shared" ref="T131:T141" si="10">SUM(F131:R131)</f>
        <v>48</v>
      </c>
      <c r="U131" s="54"/>
      <c r="V131" s="170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>
        <f>T131</f>
        <v>48</v>
      </c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  <c r="BB131" s="54"/>
      <c r="BC131" s="54"/>
      <c r="BD131" s="54"/>
      <c r="BE131" s="54"/>
      <c r="BF131" s="272"/>
      <c r="BG131" s="305">
        <f t="shared" ref="BG131:BG141" si="11">SUM(AD131:BF131)</f>
        <v>48</v>
      </c>
      <c r="BH131" s="301">
        <f t="shared" si="8"/>
        <v>0</v>
      </c>
    </row>
    <row r="132" spans="1:60">
      <c r="A132" s="190" t="s">
        <v>210</v>
      </c>
      <c r="B132" s="4" t="s">
        <v>119</v>
      </c>
      <c r="C132" s="4" t="s">
        <v>120</v>
      </c>
      <c r="D132" s="3"/>
      <c r="E132" s="35"/>
      <c r="F132" s="54"/>
      <c r="G132" s="54"/>
      <c r="H132" s="54"/>
      <c r="I132" s="54"/>
      <c r="J132" s="54"/>
      <c r="K132" s="54"/>
      <c r="L132" s="54"/>
      <c r="M132" s="54">
        <v>76.16</v>
      </c>
      <c r="N132" s="54"/>
      <c r="O132" s="54"/>
      <c r="P132" s="54"/>
      <c r="Q132" s="54"/>
      <c r="R132" s="54"/>
      <c r="S132" s="78"/>
      <c r="T132" s="54">
        <f t="shared" si="10"/>
        <v>76.16</v>
      </c>
      <c r="U132" s="54"/>
      <c r="V132" s="170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>
        <f>T132</f>
        <v>76.16</v>
      </c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  <c r="BB132" s="54"/>
      <c r="BC132" s="54"/>
      <c r="BD132" s="54"/>
      <c r="BE132" s="54"/>
      <c r="BF132" s="272"/>
      <c r="BG132" s="305">
        <f t="shared" si="11"/>
        <v>76.16</v>
      </c>
      <c r="BH132" s="301">
        <f t="shared" si="8"/>
        <v>0</v>
      </c>
    </row>
    <row r="133" spans="1:60">
      <c r="A133" s="19" t="s">
        <v>211</v>
      </c>
      <c r="B133" s="4" t="s">
        <v>113</v>
      </c>
      <c r="C133" s="4" t="s">
        <v>134</v>
      </c>
      <c r="D133" s="217"/>
      <c r="E133" s="35"/>
      <c r="F133" s="54"/>
      <c r="G133" s="54"/>
      <c r="H133" s="54"/>
      <c r="I133" s="54"/>
      <c r="J133" s="54"/>
      <c r="K133" s="54"/>
      <c r="L133" s="54"/>
      <c r="M133" s="54">
        <v>20</v>
      </c>
      <c r="N133" s="54"/>
      <c r="O133" s="54"/>
      <c r="P133" s="54"/>
      <c r="Q133" s="54"/>
      <c r="R133" s="54"/>
      <c r="S133" s="78"/>
      <c r="T133" s="54">
        <f t="shared" si="10"/>
        <v>20</v>
      </c>
      <c r="U133" s="54"/>
      <c r="V133" s="170"/>
      <c r="W133" s="54"/>
      <c r="X133" s="54"/>
      <c r="Y133" s="54"/>
      <c r="Z133" s="54"/>
      <c r="AA133" s="54"/>
      <c r="AB133" s="54"/>
      <c r="AC133" s="54"/>
      <c r="AD133" s="54"/>
      <c r="AE133" s="54"/>
      <c r="AF133" s="54">
        <f>M133</f>
        <v>20</v>
      </c>
      <c r="AG133" s="5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4"/>
      <c r="BF133" s="272"/>
      <c r="BG133" s="305">
        <f t="shared" si="11"/>
        <v>20</v>
      </c>
      <c r="BH133" s="301">
        <f t="shared" si="8"/>
        <v>0</v>
      </c>
    </row>
    <row r="134" spans="1:60">
      <c r="A134" s="19" t="s">
        <v>212</v>
      </c>
      <c r="B134" s="4" t="s">
        <v>213</v>
      </c>
      <c r="C134" s="4" t="s">
        <v>214</v>
      </c>
      <c r="D134" s="208"/>
      <c r="E134" s="35"/>
      <c r="F134" s="54"/>
      <c r="G134" s="54"/>
      <c r="H134" s="54"/>
      <c r="I134" s="54"/>
      <c r="J134" s="54"/>
      <c r="K134" s="54"/>
      <c r="L134" s="54"/>
      <c r="M134" s="54"/>
      <c r="N134" s="54">
        <v>25</v>
      </c>
      <c r="O134" s="54"/>
      <c r="P134" s="54"/>
      <c r="Q134" s="54"/>
      <c r="R134" s="54"/>
      <c r="S134" s="78"/>
      <c r="T134" s="54">
        <f t="shared" si="10"/>
        <v>25</v>
      </c>
      <c r="U134" s="54"/>
      <c r="V134" s="170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  <c r="BB134" s="54"/>
      <c r="BC134" s="54">
        <f>T134</f>
        <v>25</v>
      </c>
      <c r="BD134" s="54"/>
      <c r="BE134" s="54"/>
      <c r="BF134" s="272"/>
      <c r="BG134" s="305">
        <f t="shared" si="11"/>
        <v>25</v>
      </c>
      <c r="BH134" s="301">
        <f t="shared" si="8"/>
        <v>0</v>
      </c>
    </row>
    <row r="135" spans="1:60">
      <c r="A135" s="19" t="s">
        <v>215</v>
      </c>
      <c r="B135" s="4" t="s">
        <v>113</v>
      </c>
      <c r="C135" s="4" t="s">
        <v>134</v>
      </c>
      <c r="D135" s="217"/>
      <c r="E135" s="66"/>
      <c r="F135" s="54"/>
      <c r="G135" s="54"/>
      <c r="H135" s="54"/>
      <c r="I135" s="54"/>
      <c r="J135" s="54"/>
      <c r="K135" s="54"/>
      <c r="L135" s="54"/>
      <c r="M135" s="54"/>
      <c r="N135" s="54">
        <v>13</v>
      </c>
      <c r="O135" s="54"/>
      <c r="P135" s="54"/>
      <c r="Q135" s="54"/>
      <c r="R135" s="54"/>
      <c r="S135" s="78"/>
      <c r="T135" s="54">
        <f t="shared" si="10"/>
        <v>13</v>
      </c>
      <c r="U135" s="54"/>
      <c r="V135" s="170"/>
      <c r="W135" s="54"/>
      <c r="X135" s="54"/>
      <c r="Y135" s="54"/>
      <c r="Z135" s="54"/>
      <c r="AA135" s="54"/>
      <c r="AB135" s="54"/>
      <c r="AC135" s="54"/>
      <c r="AD135" s="54"/>
      <c r="AE135" s="54"/>
      <c r="AF135" s="54">
        <f>T135</f>
        <v>13</v>
      </c>
      <c r="AG135" s="5"/>
      <c r="AH135" s="54"/>
      <c r="AI135" s="54"/>
      <c r="AJ135" s="54"/>
      <c r="AK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  <c r="BA135" s="54"/>
      <c r="BB135" s="54"/>
      <c r="BC135" s="54"/>
      <c r="BD135" s="54"/>
      <c r="BE135" s="54"/>
      <c r="BF135" s="272"/>
      <c r="BG135" s="305">
        <f t="shared" si="11"/>
        <v>13</v>
      </c>
      <c r="BH135" s="301">
        <f t="shared" si="8"/>
        <v>0</v>
      </c>
    </row>
    <row r="136" spans="1:60">
      <c r="A136" s="19" t="s">
        <v>216</v>
      </c>
      <c r="B136" s="4" t="s">
        <v>113</v>
      </c>
      <c r="C136" s="4" t="s">
        <v>134</v>
      </c>
      <c r="D136" s="217"/>
      <c r="E136" s="35"/>
      <c r="F136" s="54"/>
      <c r="G136" s="54"/>
      <c r="H136" s="54"/>
      <c r="I136" s="54"/>
      <c r="J136" s="54"/>
      <c r="K136" s="54"/>
      <c r="L136" s="54"/>
      <c r="M136" s="54"/>
      <c r="N136" s="54"/>
      <c r="O136" s="54">
        <v>9</v>
      </c>
      <c r="P136" s="54"/>
      <c r="Q136" s="54"/>
      <c r="R136" s="54"/>
      <c r="S136" s="78"/>
      <c r="T136" s="54">
        <f t="shared" si="10"/>
        <v>9</v>
      </c>
      <c r="U136" s="54"/>
      <c r="V136" s="170"/>
      <c r="W136" s="54"/>
      <c r="X136" s="54"/>
      <c r="Y136" s="54"/>
      <c r="Z136" s="54"/>
      <c r="AA136" s="54"/>
      <c r="AB136" s="54"/>
      <c r="AC136" s="54"/>
      <c r="AD136" s="54"/>
      <c r="AE136" s="54"/>
      <c r="AF136" s="54">
        <f>T136</f>
        <v>9</v>
      </c>
      <c r="AG136" s="5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272"/>
      <c r="BG136" s="305">
        <f t="shared" si="11"/>
        <v>9</v>
      </c>
      <c r="BH136" s="301">
        <f t="shared" si="8"/>
        <v>0</v>
      </c>
    </row>
    <row r="137" spans="1:60">
      <c r="A137" s="19" t="s">
        <v>217</v>
      </c>
      <c r="B137" s="4" t="s">
        <v>113</v>
      </c>
      <c r="C137" s="4" t="s">
        <v>134</v>
      </c>
      <c r="D137" s="217"/>
      <c r="E137" s="35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>
        <v>8</v>
      </c>
      <c r="Q137" s="54"/>
      <c r="R137" s="54"/>
      <c r="S137" s="78"/>
      <c r="T137" s="54">
        <f t="shared" si="10"/>
        <v>8</v>
      </c>
      <c r="U137" s="54"/>
      <c r="V137" s="170"/>
      <c r="W137" s="54"/>
      <c r="X137" s="54"/>
      <c r="Y137" s="54"/>
      <c r="Z137" s="54"/>
      <c r="AA137" s="54"/>
      <c r="AB137" s="54"/>
      <c r="AC137" s="54"/>
      <c r="AD137" s="54"/>
      <c r="AE137" s="54"/>
      <c r="AF137" s="54">
        <f>T137</f>
        <v>8</v>
      </c>
      <c r="AG137" s="5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272"/>
      <c r="BG137" s="305">
        <f t="shared" si="11"/>
        <v>8</v>
      </c>
      <c r="BH137" s="301">
        <f t="shared" si="8"/>
        <v>0</v>
      </c>
    </row>
    <row r="138" spans="1:60">
      <c r="A138" s="19" t="s">
        <v>218</v>
      </c>
      <c r="B138" s="4" t="s">
        <v>200</v>
      </c>
      <c r="C138" s="4" t="s">
        <v>219</v>
      </c>
      <c r="D138" s="208"/>
      <c r="E138" s="35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>
        <v>8000</v>
      </c>
      <c r="Q138" s="54"/>
      <c r="R138" s="54"/>
      <c r="S138" s="78"/>
      <c r="T138" s="314">
        <f t="shared" si="10"/>
        <v>8000</v>
      </c>
      <c r="U138" s="54"/>
      <c r="V138" s="170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  <c r="BA138" s="54"/>
      <c r="BB138" s="54"/>
      <c r="BC138" s="54"/>
      <c r="BD138" s="54"/>
      <c r="BE138" s="54"/>
      <c r="BF138" s="272">
        <f>T138</f>
        <v>8000</v>
      </c>
      <c r="BG138" s="305">
        <f t="shared" si="11"/>
        <v>8000</v>
      </c>
      <c r="BH138" s="301">
        <f t="shared" si="8"/>
        <v>0</v>
      </c>
    </row>
    <row r="139" spans="1:60">
      <c r="A139" s="19" t="s">
        <v>220</v>
      </c>
      <c r="B139" s="4" t="s">
        <v>115</v>
      </c>
      <c r="C139" s="4" t="s">
        <v>221</v>
      </c>
      <c r="D139" s="3"/>
      <c r="E139" s="35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>
        <v>12102</v>
      </c>
      <c r="Q139" s="54"/>
      <c r="R139" s="54"/>
      <c r="S139" s="78"/>
      <c r="T139" s="54">
        <f t="shared" si="10"/>
        <v>12102</v>
      </c>
      <c r="U139" s="54"/>
      <c r="V139" s="170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>
        <f>T139</f>
        <v>12102</v>
      </c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  <c r="BA139" s="54"/>
      <c r="BB139" s="54"/>
      <c r="BC139" s="54"/>
      <c r="BD139" s="54"/>
      <c r="BE139" s="54"/>
      <c r="BF139" s="272"/>
      <c r="BG139" s="305">
        <f t="shared" si="11"/>
        <v>12102</v>
      </c>
      <c r="BH139" s="301">
        <f t="shared" si="8"/>
        <v>0</v>
      </c>
    </row>
    <row r="140" spans="1:60" ht="25.5">
      <c r="A140" s="19" t="s">
        <v>222</v>
      </c>
      <c r="B140" s="4" t="s">
        <v>223</v>
      </c>
      <c r="C140" s="4" t="s">
        <v>224</v>
      </c>
      <c r="D140" s="3"/>
      <c r="E140" s="35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>
        <v>-100</v>
      </c>
      <c r="R140" s="54"/>
      <c r="S140" s="78"/>
      <c r="T140" s="54">
        <v>-100</v>
      </c>
      <c r="U140" s="54"/>
      <c r="V140" s="170"/>
      <c r="W140" s="54"/>
      <c r="X140" s="54"/>
      <c r="Y140" s="54"/>
      <c r="Z140" s="54"/>
      <c r="AA140" s="54"/>
      <c r="AB140" s="54">
        <v>-100</v>
      </c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  <c r="BB140" s="54"/>
      <c r="BC140" s="54"/>
      <c r="BD140" s="54"/>
      <c r="BE140" s="54"/>
      <c r="BF140" s="272"/>
      <c r="BG140" s="305"/>
      <c r="BH140" s="301"/>
    </row>
    <row r="141" spans="1:60">
      <c r="A141" s="19" t="s">
        <v>225</v>
      </c>
      <c r="B141" s="4" t="s">
        <v>113</v>
      </c>
      <c r="C141" s="4" t="s">
        <v>134</v>
      </c>
      <c r="D141" s="217"/>
      <c r="E141" s="35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>
        <v>9</v>
      </c>
      <c r="R141" s="54"/>
      <c r="S141" s="78"/>
      <c r="T141" s="54">
        <f t="shared" si="10"/>
        <v>9</v>
      </c>
      <c r="U141" s="54"/>
      <c r="V141" s="170"/>
      <c r="W141" s="54"/>
      <c r="X141" s="54"/>
      <c r="Y141" s="54"/>
      <c r="Z141" s="54"/>
      <c r="AA141" s="54"/>
      <c r="AB141" s="54"/>
      <c r="AC141" s="54"/>
      <c r="AD141" s="54"/>
      <c r="AE141" s="54"/>
      <c r="AF141" s="54">
        <f>T141</f>
        <v>9</v>
      </c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  <c r="BA141" s="54"/>
      <c r="BB141" s="54"/>
      <c r="BC141" s="54"/>
      <c r="BD141" s="54"/>
      <c r="BE141" s="54"/>
      <c r="BF141" s="272"/>
      <c r="BG141" s="305">
        <f t="shared" si="11"/>
        <v>9</v>
      </c>
      <c r="BH141" s="301">
        <f t="shared" si="8"/>
        <v>0</v>
      </c>
    </row>
    <row r="142" spans="1:60" s="31" customFormat="1" ht="18">
      <c r="A142" s="114" t="s">
        <v>226</v>
      </c>
      <c r="B142" s="115"/>
      <c r="C142" s="115"/>
      <c r="D142" s="140"/>
      <c r="E142" s="57"/>
      <c r="F142" s="59"/>
      <c r="G142" s="79"/>
      <c r="H142" s="59"/>
      <c r="I142" s="84"/>
      <c r="J142" s="59"/>
      <c r="K142" s="123"/>
      <c r="L142" s="182"/>
      <c r="M142" s="182"/>
      <c r="N142" s="182"/>
      <c r="O142" s="182"/>
      <c r="P142" s="60"/>
      <c r="Q142" s="59"/>
      <c r="R142" s="59"/>
      <c r="S142" s="79"/>
      <c r="T142" s="59">
        <f>SUM(T67:T141)</f>
        <v>51060.12</v>
      </c>
      <c r="U142" s="59">
        <f t="shared" ref="U142:BG142" si="12">SUM(U67:U141)</f>
        <v>0</v>
      </c>
      <c r="V142" s="233">
        <f t="shared" si="12"/>
        <v>0</v>
      </c>
      <c r="W142" s="59">
        <f t="shared" si="12"/>
        <v>0</v>
      </c>
      <c r="X142" s="59">
        <f t="shared" si="12"/>
        <v>0</v>
      </c>
      <c r="Y142" s="59">
        <f t="shared" si="12"/>
        <v>0</v>
      </c>
      <c r="Z142" s="59">
        <f t="shared" si="12"/>
        <v>0</v>
      </c>
      <c r="AA142" s="59">
        <f t="shared" si="12"/>
        <v>0</v>
      </c>
      <c r="AB142" s="59">
        <f t="shared" si="12"/>
        <v>-100</v>
      </c>
      <c r="AC142" s="59">
        <f t="shared" si="12"/>
        <v>0</v>
      </c>
      <c r="AD142" s="59">
        <f t="shared" si="12"/>
        <v>5105.4500000000007</v>
      </c>
      <c r="AE142" s="59">
        <f t="shared" si="12"/>
        <v>0</v>
      </c>
      <c r="AF142" s="59">
        <f t="shared" si="12"/>
        <v>171</v>
      </c>
      <c r="AG142" s="59">
        <f t="shared" si="12"/>
        <v>156</v>
      </c>
      <c r="AH142" s="59">
        <f t="shared" si="12"/>
        <v>1317.73</v>
      </c>
      <c r="AI142" s="59">
        <f t="shared" si="12"/>
        <v>2044.56</v>
      </c>
      <c r="AJ142" s="59">
        <f t="shared" si="12"/>
        <v>250</v>
      </c>
      <c r="AK142" s="59">
        <f t="shared" si="12"/>
        <v>804</v>
      </c>
      <c r="AL142" s="59">
        <f t="shared" si="12"/>
        <v>519.6</v>
      </c>
      <c r="AM142" s="59">
        <f t="shared" si="12"/>
        <v>2522.2800000000002</v>
      </c>
      <c r="AN142" s="59">
        <f t="shared" si="12"/>
        <v>12102</v>
      </c>
      <c r="AO142" s="59">
        <f t="shared" si="12"/>
        <v>1221.99</v>
      </c>
      <c r="AP142" s="59">
        <f t="shared" si="12"/>
        <v>1151</v>
      </c>
      <c r="AQ142" s="59">
        <f t="shared" si="12"/>
        <v>0</v>
      </c>
      <c r="AR142" s="59">
        <f t="shared" si="12"/>
        <v>349.3</v>
      </c>
      <c r="AS142" s="59">
        <f t="shared" si="12"/>
        <v>0</v>
      </c>
      <c r="AT142" s="59">
        <f t="shared" si="12"/>
        <v>1228.8</v>
      </c>
      <c r="AU142" s="59">
        <f t="shared" si="12"/>
        <v>1320.62</v>
      </c>
      <c r="AV142" s="59">
        <f t="shared" si="12"/>
        <v>3147.69</v>
      </c>
      <c r="AW142" s="59">
        <f t="shared" si="12"/>
        <v>1167.1400000000001</v>
      </c>
      <c r="AX142" s="59">
        <f t="shared" si="12"/>
        <v>1541.99</v>
      </c>
      <c r="AY142" s="59">
        <f t="shared" si="12"/>
        <v>0</v>
      </c>
      <c r="AZ142" s="59">
        <f t="shared" si="12"/>
        <v>0</v>
      </c>
      <c r="BA142" s="59">
        <f t="shared" si="12"/>
        <v>2013.9700000000003</v>
      </c>
      <c r="BB142" s="59">
        <f t="shared" si="12"/>
        <v>0</v>
      </c>
      <c r="BC142" s="59">
        <f t="shared" si="12"/>
        <v>25</v>
      </c>
      <c r="BD142" s="59">
        <f t="shared" si="12"/>
        <v>0</v>
      </c>
      <c r="BE142" s="59">
        <f t="shared" si="12"/>
        <v>0</v>
      </c>
      <c r="BF142" s="59">
        <f t="shared" si="12"/>
        <v>13000</v>
      </c>
      <c r="BG142" s="309">
        <f t="shared" si="12"/>
        <v>51160.12</v>
      </c>
      <c r="BH142" s="301"/>
    </row>
    <row r="143" spans="1:60" ht="15.75">
      <c r="A143" s="67"/>
      <c r="B143" s="67"/>
      <c r="C143" s="67"/>
      <c r="D143" s="141"/>
      <c r="E143" s="14"/>
      <c r="F143" s="68">
        <f>SUM(F67:F142)</f>
        <v>3127.44</v>
      </c>
      <c r="G143" s="68">
        <f>SUM(G67:G142)</f>
        <v>5456.7300000000005</v>
      </c>
      <c r="H143" s="68">
        <f t="shared" ref="H143:Q143" si="13">SUM(H67:H142)</f>
        <v>3868.6100000000006</v>
      </c>
      <c r="I143" s="68">
        <f t="shared" si="13"/>
        <v>1854.7400000000002</v>
      </c>
      <c r="J143" s="68">
        <f t="shared" si="13"/>
        <v>1982.37</v>
      </c>
      <c r="K143" s="68">
        <f t="shared" si="13"/>
        <v>5684.920000000001</v>
      </c>
      <c r="L143" s="68">
        <f t="shared" si="13"/>
        <v>8923.1500000000015</v>
      </c>
      <c r="M143" s="68">
        <f t="shared" si="13"/>
        <v>96.16</v>
      </c>
      <c r="N143" s="68">
        <f t="shared" si="13"/>
        <v>38</v>
      </c>
      <c r="O143" s="68">
        <f t="shared" si="13"/>
        <v>9</v>
      </c>
      <c r="P143" s="68">
        <f t="shared" si="13"/>
        <v>20110</v>
      </c>
      <c r="Q143" s="68">
        <f t="shared" si="13"/>
        <v>-91</v>
      </c>
      <c r="R143" s="62"/>
      <c r="S143" s="81"/>
      <c r="T143" s="9"/>
      <c r="U143" s="5"/>
      <c r="V143" s="47"/>
      <c r="W143" s="6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6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310"/>
    </row>
    <row r="144" spans="1:60" s="31" customFormat="1" ht="18">
      <c r="A144" s="114" t="s">
        <v>227</v>
      </c>
      <c r="B144" s="115"/>
      <c r="C144" s="115"/>
      <c r="D144" s="140"/>
      <c r="E144" s="58">
        <v>19313.86</v>
      </c>
      <c r="F144" s="58">
        <f t="shared" ref="F144:Q144" si="14">E144-F143+F62</f>
        <v>38810.879999999997</v>
      </c>
      <c r="G144" s="58">
        <f t="shared" si="14"/>
        <v>34290.709999999992</v>
      </c>
      <c r="H144" s="58">
        <f t="shared" si="14"/>
        <v>30422.099999999991</v>
      </c>
      <c r="I144" s="58">
        <f t="shared" si="14"/>
        <v>32445.35999999999</v>
      </c>
      <c r="J144" s="58">
        <f t="shared" si="14"/>
        <v>30462.989999999991</v>
      </c>
      <c r="K144" s="58">
        <f t="shared" si="14"/>
        <v>41661.069999999992</v>
      </c>
      <c r="L144" s="58">
        <f t="shared" si="14"/>
        <v>36394.349999999991</v>
      </c>
      <c r="M144" s="58">
        <f t="shared" si="14"/>
        <v>36298.189999999988</v>
      </c>
      <c r="N144" s="58">
        <f t="shared" si="14"/>
        <v>36380.189999999988</v>
      </c>
      <c r="O144" s="58">
        <f t="shared" si="14"/>
        <v>36371.189999999988</v>
      </c>
      <c r="P144" s="58">
        <f t="shared" si="14"/>
        <v>16261.189999999988</v>
      </c>
      <c r="Q144" s="58">
        <f t="shared" si="14"/>
        <v>19175.969999999987</v>
      </c>
      <c r="R144" s="59"/>
      <c r="S144" s="83" t="s">
        <v>228</v>
      </c>
      <c r="T144" s="69">
        <f>T142-SUM(F143:Q143)</f>
        <v>0</v>
      </c>
      <c r="U144" s="69">
        <f>SUM(AD142:BF142)-T142</f>
        <v>100</v>
      </c>
      <c r="V144" s="234"/>
      <c r="W144" s="123"/>
      <c r="X144" s="57"/>
      <c r="Y144" s="57"/>
      <c r="Z144" s="57"/>
      <c r="AA144" s="57"/>
      <c r="AB144" s="57"/>
      <c r="AC144" s="57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74"/>
      <c r="AP144" s="60"/>
      <c r="AQ144" s="60"/>
      <c r="AR144" s="60"/>
      <c r="AS144" s="60"/>
      <c r="AT144" s="60"/>
      <c r="AU144" s="60"/>
      <c r="AV144" s="60"/>
      <c r="AW144" s="70"/>
      <c r="AX144" s="70"/>
      <c r="AY144" s="70"/>
      <c r="AZ144" s="70"/>
      <c r="BA144" s="70"/>
      <c r="BB144" s="70"/>
      <c r="BC144" s="70"/>
      <c r="BD144" s="70"/>
      <c r="BE144" s="70"/>
      <c r="BF144" s="60"/>
      <c r="BG144" s="311"/>
      <c r="BH144" s="300"/>
    </row>
    <row r="145" spans="1:60" s="17" customFormat="1" ht="15">
      <c r="A145" s="71"/>
      <c r="B145" s="7"/>
      <c r="C145" s="7"/>
      <c r="D145" s="3" t="s">
        <v>229</v>
      </c>
      <c r="E145" s="35"/>
      <c r="F145" s="36"/>
      <c r="G145" s="36"/>
      <c r="H145" s="36"/>
      <c r="I145" s="36"/>
      <c r="J145" s="68"/>
      <c r="K145" s="36"/>
      <c r="L145" s="68"/>
      <c r="M145" s="36"/>
      <c r="N145" s="36"/>
      <c r="O145" s="36"/>
      <c r="P145" s="73"/>
      <c r="Q145" s="94"/>
      <c r="R145" s="42"/>
      <c r="S145" s="82"/>
      <c r="T145" s="34"/>
      <c r="U145" s="34"/>
      <c r="V145" s="235"/>
      <c r="W145" s="6"/>
      <c r="X145" s="14"/>
      <c r="Y145" s="14"/>
      <c r="Z145" s="14"/>
      <c r="AA145" s="14"/>
      <c r="AB145" s="14"/>
      <c r="AC145" s="14"/>
      <c r="AD145" s="72"/>
      <c r="AE145" s="72"/>
      <c r="AF145" s="72"/>
      <c r="AG145" s="72"/>
      <c r="AH145" s="72"/>
      <c r="AI145" s="72"/>
      <c r="AJ145" s="72"/>
      <c r="AK145" s="72"/>
      <c r="AL145" s="72"/>
      <c r="AM145" s="72"/>
      <c r="AN145" s="72"/>
      <c r="AO145" s="72"/>
      <c r="AP145" s="72"/>
      <c r="AQ145" s="72"/>
      <c r="AR145" s="72"/>
      <c r="AS145" s="72"/>
      <c r="AT145" s="72"/>
      <c r="AU145" s="72"/>
      <c r="AV145" s="72"/>
      <c r="AW145" s="72"/>
      <c r="AX145" s="72"/>
      <c r="AY145" s="72"/>
      <c r="AZ145" s="72"/>
      <c r="BA145" s="72"/>
      <c r="BB145" s="72"/>
      <c r="BC145" s="72"/>
      <c r="BD145" s="127"/>
      <c r="BE145" s="127"/>
      <c r="BF145" s="59"/>
      <c r="BG145" s="311">
        <f>SUM(BG67:BG141)</f>
        <v>51160.12</v>
      </c>
      <c r="BH145" s="302"/>
    </row>
    <row r="146" spans="1:60" ht="15.75">
      <c r="D146" s="28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43"/>
      <c r="Q146" s="43"/>
      <c r="R146" s="43"/>
      <c r="S146" s="85"/>
      <c r="T146" s="23"/>
      <c r="U146" s="237"/>
      <c r="V146" s="18"/>
      <c r="W146" s="124"/>
      <c r="X146" s="18"/>
      <c r="Y146" s="18"/>
      <c r="Z146" s="18"/>
      <c r="AA146" s="18"/>
      <c r="AB146" s="40"/>
      <c r="AC146" s="40"/>
      <c r="AD146" s="40"/>
      <c r="AE146" s="40"/>
      <c r="AF146" s="40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G146" s="312"/>
    </row>
    <row r="147" spans="1:60" ht="14.25">
      <c r="B147" s="144"/>
      <c r="D147" s="24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41"/>
      <c r="Q147" s="41"/>
      <c r="R147" s="41"/>
      <c r="S147" s="86"/>
      <c r="T147" s="23"/>
      <c r="U147" s="237"/>
      <c r="V147" s="16"/>
      <c r="W147" s="125"/>
      <c r="X147" s="16"/>
      <c r="Y147" s="16"/>
      <c r="Z147" s="16"/>
      <c r="AA147" s="16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G147" s="312"/>
    </row>
    <row r="148" spans="1:60">
      <c r="B148" s="144"/>
      <c r="D148" s="24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41"/>
      <c r="Q148" s="41"/>
      <c r="R148" s="41"/>
      <c r="S148" s="87"/>
      <c r="T148" s="23"/>
      <c r="U148" s="237"/>
      <c r="V148" s="16"/>
      <c r="W148" s="125"/>
      <c r="X148" s="16"/>
      <c r="Y148" s="16"/>
      <c r="Z148" s="16"/>
      <c r="AA148" s="16"/>
      <c r="AB148" s="10"/>
      <c r="AC148" s="10"/>
      <c r="AD148" s="10"/>
      <c r="AE148" s="10"/>
      <c r="AF148" s="10"/>
      <c r="AH148"/>
      <c r="AI148" s="11" t="s">
        <v>229</v>
      </c>
      <c r="BG148" s="313"/>
    </row>
    <row r="149" spans="1:60">
      <c r="D149" s="24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Q149" s="41"/>
      <c r="R149" s="41"/>
      <c r="S149" s="23"/>
      <c r="T149" s="23"/>
      <c r="U149" s="237"/>
      <c r="V149" s="16"/>
      <c r="W149" s="125"/>
      <c r="X149" s="16"/>
      <c r="Y149" s="16"/>
      <c r="Z149" s="16"/>
      <c r="AA149" s="16"/>
      <c r="AB149" s="10"/>
      <c r="AC149" s="10"/>
      <c r="AD149" s="10"/>
      <c r="AE149" s="10"/>
      <c r="AF149" s="10"/>
      <c r="AH149"/>
      <c r="BG149" s="313"/>
    </row>
    <row r="150" spans="1:60">
      <c r="D150" s="24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41"/>
      <c r="Q150" s="41"/>
      <c r="R150" s="41"/>
      <c r="S150" s="23"/>
      <c r="T150" s="23"/>
      <c r="U150" s="237"/>
      <c r="V150" s="16"/>
      <c r="W150" s="125"/>
      <c r="X150" s="16"/>
      <c r="Y150" s="16"/>
      <c r="Z150" s="16"/>
      <c r="AA150" s="16"/>
      <c r="AH150"/>
      <c r="BG150" s="313"/>
    </row>
    <row r="151" spans="1:60">
      <c r="D151" s="24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41"/>
      <c r="Q151" s="41"/>
      <c r="R151" s="41"/>
      <c r="S151" s="23"/>
      <c r="T151" s="23"/>
      <c r="U151" s="237"/>
      <c r="V151" s="16"/>
      <c r="W151" s="125"/>
      <c r="X151" s="16"/>
      <c r="Y151" s="16"/>
      <c r="Z151" s="16"/>
      <c r="AA151" s="16"/>
      <c r="AH151"/>
      <c r="BG151" s="313"/>
    </row>
    <row r="152" spans="1:60">
      <c r="D152" s="25"/>
      <c r="E152" s="26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41"/>
      <c r="Q152" s="41"/>
      <c r="R152" s="41"/>
      <c r="S152" s="23"/>
      <c r="T152" s="23"/>
      <c r="U152" s="237"/>
      <c r="V152" s="13"/>
      <c r="X152" s="13"/>
      <c r="Y152" s="13"/>
      <c r="Z152" s="13"/>
      <c r="AA152" s="13"/>
      <c r="AH152"/>
      <c r="BG152" s="313"/>
    </row>
    <row r="153" spans="1:60">
      <c r="D153" s="27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41"/>
      <c r="Q153" s="41"/>
      <c r="R153" s="41"/>
      <c r="S153" s="23"/>
      <c r="T153" s="23"/>
      <c r="U153" s="237"/>
      <c r="V153" s="13"/>
      <c r="X153" s="13"/>
      <c r="Y153" s="13"/>
      <c r="Z153" s="13"/>
      <c r="AA153" s="13"/>
      <c r="AH153"/>
      <c r="BG153" s="313"/>
    </row>
    <row r="154" spans="1:60">
      <c r="D154" s="24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41"/>
      <c r="Q154" s="41"/>
      <c r="R154" s="41"/>
      <c r="S154" s="23"/>
      <c r="T154" s="23"/>
      <c r="U154" s="237"/>
      <c r="V154" s="13"/>
      <c r="X154" s="13"/>
      <c r="Y154" s="13"/>
      <c r="Z154" s="13"/>
      <c r="AA154" s="13"/>
      <c r="AH154"/>
      <c r="BG154" s="313"/>
    </row>
    <row r="155" spans="1:60">
      <c r="D155" s="24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41"/>
      <c r="Q155" s="41"/>
      <c r="R155" s="41"/>
      <c r="S155" s="23"/>
      <c r="T155" s="23"/>
      <c r="U155" s="237"/>
      <c r="V155" s="13"/>
      <c r="X155" s="13"/>
      <c r="Y155" s="13"/>
      <c r="Z155" s="13"/>
      <c r="AA155" s="13"/>
      <c r="AH155"/>
      <c r="BG155" s="313"/>
    </row>
    <row r="156" spans="1:60">
      <c r="D156" s="24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41"/>
      <c r="Q156" s="41"/>
      <c r="R156" s="41"/>
      <c r="S156" s="23"/>
      <c r="T156" s="23"/>
      <c r="U156" s="237"/>
      <c r="V156" s="13"/>
      <c r="X156" s="13"/>
      <c r="Y156" s="13"/>
      <c r="Z156" s="13"/>
      <c r="AA156" s="13"/>
      <c r="AH156"/>
      <c r="BG156" s="313"/>
    </row>
    <row r="157" spans="1:60">
      <c r="D157" s="24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41"/>
      <c r="Q157" s="41"/>
      <c r="R157" s="41"/>
      <c r="S157" s="23"/>
      <c r="T157" s="23"/>
      <c r="U157" s="237"/>
      <c r="V157" s="13"/>
      <c r="X157" s="13"/>
      <c r="Y157" s="13"/>
      <c r="Z157" s="13"/>
      <c r="AA157" s="13"/>
      <c r="AH157"/>
      <c r="BG157" s="313"/>
    </row>
    <row r="158" spans="1:60">
      <c r="D158" s="24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41"/>
      <c r="Q158" s="41"/>
      <c r="R158" s="41"/>
      <c r="S158" s="23"/>
      <c r="T158" s="23"/>
      <c r="U158" s="237"/>
      <c r="V158" s="13"/>
      <c r="X158" s="13"/>
      <c r="Y158" s="13"/>
      <c r="Z158" s="13"/>
      <c r="AA158" s="13"/>
      <c r="AH158"/>
      <c r="BG158" s="313"/>
    </row>
    <row r="159" spans="1:60" ht="15.75">
      <c r="D159" s="24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41"/>
      <c r="Q159" s="41"/>
      <c r="R159" s="41"/>
      <c r="S159" s="85"/>
      <c r="T159" s="23"/>
      <c r="U159" s="238"/>
      <c r="V159" s="13"/>
      <c r="X159" s="13"/>
      <c r="Y159" s="13"/>
      <c r="Z159" s="13"/>
      <c r="AA159" s="13"/>
      <c r="AH159"/>
      <c r="BG159" s="313"/>
    </row>
    <row r="160" spans="1:60">
      <c r="D160" s="24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41"/>
      <c r="Q160" s="41"/>
      <c r="R160" s="41"/>
      <c r="S160" s="86"/>
      <c r="T160" s="23"/>
      <c r="U160" s="239"/>
      <c r="V160" s="13"/>
      <c r="X160" s="13"/>
      <c r="Y160" s="13"/>
      <c r="Z160" s="13"/>
      <c r="AA160" s="13"/>
      <c r="AH160"/>
      <c r="BG160" s="313"/>
    </row>
    <row r="161" spans="4:59">
      <c r="D161" s="24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41"/>
      <c r="Q161" s="41"/>
      <c r="R161" s="41"/>
      <c r="S161" s="87"/>
      <c r="T161" s="23"/>
      <c r="U161" s="237"/>
      <c r="V161" s="13"/>
      <c r="X161" s="13"/>
      <c r="Y161" s="13"/>
      <c r="Z161" s="13"/>
      <c r="AA161" s="13"/>
      <c r="AH161"/>
      <c r="BG161" s="313"/>
    </row>
    <row r="162" spans="4:59">
      <c r="D162" s="24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41"/>
      <c r="Q162" s="41"/>
      <c r="R162" s="41"/>
      <c r="S162" s="23"/>
      <c r="T162" s="23"/>
      <c r="U162" s="237"/>
      <c r="V162" s="13"/>
      <c r="X162" s="13"/>
      <c r="Y162" s="13"/>
      <c r="Z162" s="13"/>
      <c r="AA162" s="13"/>
      <c r="AH162"/>
      <c r="BG162" s="313"/>
    </row>
  </sheetData>
  <autoFilter ref="D1:D162" xr:uid="{A4E1DB17-65E1-4E81-B261-37773208066F}"/>
  <sortState xmlns:xlrd2="http://schemas.microsoft.com/office/spreadsheetml/2017/richdata2" ref="A62:AI141">
    <sortCondition ref="A62"/>
  </sortState>
  <phoneticPr fontId="31" type="noConversion"/>
  <dataValidations count="3">
    <dataValidation allowBlank="1" showInputMessage="1" showErrorMessage="1" prompt="Enter amount received" sqref="AK138" xr:uid="{00000000-0002-0000-0000-000000000000}"/>
    <dataValidation allowBlank="1" showInputMessage="1" showErrorMessage="1" prompt="Enter name on receipt" sqref="E135 E138:E140 E80:E81 E94:E95 E104:E105 E108:E122 E97 E124" xr:uid="{00000000-0002-0000-0000-000001000000}"/>
    <dataValidation allowBlank="1" showInputMessage="1" showErrorMessage="1" prompt="Enter payee name" sqref="E82 E79 E69:E70" xr:uid="{00000000-0002-0000-0000-000002000000}"/>
  </dataValidations>
  <pageMargins left="0.25" right="0.25" top="0.75" bottom="0.75" header="0.3" footer="0.3"/>
  <pageSetup paperSize="9" orientation="landscape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104E7-E3B6-49F2-B67D-EBF77FFE9C1D}">
  <dimension ref="A2:AT92"/>
  <sheetViews>
    <sheetView zoomScaleNormal="100" workbookViewId="0">
      <pane xSplit="6" ySplit="4" topLeftCell="G17" activePane="bottomRight" state="frozen"/>
      <selection pane="bottomRight" activeCell="R81" sqref="R81:T81"/>
      <selection pane="bottomLeft" activeCell="A4" sqref="A4"/>
      <selection pane="topRight" activeCell="G1" sqref="G1"/>
    </sheetView>
  </sheetViews>
  <sheetFormatPr defaultColWidth="9.140625" defaultRowHeight="15"/>
  <cols>
    <col min="1" max="1" width="12.85546875" style="255" customWidth="1"/>
    <col min="2" max="2" width="6.5703125" style="255" customWidth="1"/>
    <col min="3" max="3" width="12.28515625" style="255" customWidth="1"/>
    <col min="4" max="4" width="13.140625" style="255" customWidth="1"/>
    <col min="5" max="5" width="24.28515625" style="255" customWidth="1"/>
    <col min="6" max="6" width="12" style="256" customWidth="1"/>
    <col min="7" max="7" width="14" style="256" customWidth="1"/>
    <col min="8" max="8" width="6.85546875" style="267" customWidth="1"/>
    <col min="9" max="9" width="12.140625" style="255" bestFit="1" customWidth="1"/>
    <col min="10" max="15" width="9.28515625" style="255" bestFit="1" customWidth="1"/>
    <col min="16" max="16" width="9.85546875" style="255" bestFit="1" customWidth="1"/>
    <col min="17" max="18" width="9.28515625" style="255" bestFit="1" customWidth="1"/>
    <col min="19" max="20" width="9.28515625" style="255" customWidth="1"/>
    <col min="21" max="21" width="10" style="255" customWidth="1"/>
    <col min="22" max="32" width="9.28515625" style="255" bestFit="1" customWidth="1"/>
    <col min="33" max="33" width="9.28515625" style="288" bestFit="1" customWidth="1"/>
    <col min="34" max="43" width="9.28515625" style="255" bestFit="1" customWidth="1"/>
    <col min="44" max="44" width="10.85546875" style="255" customWidth="1"/>
    <col min="45" max="45" width="10.7109375" style="255" customWidth="1"/>
    <col min="46" max="46" width="6.28515625" style="274" customWidth="1"/>
    <col min="47" max="16384" width="9.140625" style="255"/>
  </cols>
  <sheetData>
    <row r="2" spans="1:46" ht="20.25">
      <c r="A2" s="228" t="s">
        <v>230</v>
      </c>
      <c r="Y2" s="255" t="str">
        <f>IF(P10&gt;0,"pos","neg")</f>
        <v>pos</v>
      </c>
    </row>
    <row r="3" spans="1:46">
      <c r="A3" s="315" t="s">
        <v>231</v>
      </c>
      <c r="B3" s="315"/>
      <c r="C3" s="315"/>
      <c r="D3" s="315"/>
      <c r="E3" s="315"/>
      <c r="F3" s="315"/>
      <c r="G3" s="315"/>
    </row>
    <row r="4" spans="1:46" s="261" customFormat="1" ht="64.5">
      <c r="A4" s="1" t="s">
        <v>23</v>
      </c>
      <c r="B4" s="1" t="s">
        <v>232</v>
      </c>
      <c r="C4" s="1" t="s">
        <v>25</v>
      </c>
      <c r="D4" s="1"/>
      <c r="E4" s="1" t="s">
        <v>233</v>
      </c>
      <c r="F4" s="1" t="s">
        <v>234</v>
      </c>
      <c r="G4" s="1" t="s">
        <v>235</v>
      </c>
      <c r="H4" s="267" t="s">
        <v>64</v>
      </c>
      <c r="I4" s="249" t="s">
        <v>4</v>
      </c>
      <c r="J4" s="284" t="s">
        <v>29</v>
      </c>
      <c r="K4" s="51" t="s">
        <v>30</v>
      </c>
      <c r="L4" s="51" t="s">
        <v>31</v>
      </c>
      <c r="M4" s="51" t="s">
        <v>32</v>
      </c>
      <c r="N4" s="51" t="s">
        <v>33</v>
      </c>
      <c r="O4" s="282" t="s">
        <v>34</v>
      </c>
      <c r="P4" s="283" t="s">
        <v>35</v>
      </c>
      <c r="Q4" s="1" t="s">
        <v>36</v>
      </c>
      <c r="R4" s="1" t="s">
        <v>37</v>
      </c>
      <c r="S4" s="1" t="s">
        <v>39</v>
      </c>
      <c r="T4" s="1" t="s">
        <v>236</v>
      </c>
      <c r="U4" s="1" t="s">
        <v>40</v>
      </c>
      <c r="V4" s="1" t="s">
        <v>41</v>
      </c>
      <c r="W4" s="1" t="s">
        <v>42</v>
      </c>
      <c r="X4" s="1" t="s">
        <v>43</v>
      </c>
      <c r="Y4" s="1" t="s">
        <v>44</v>
      </c>
      <c r="Z4" s="1" t="s">
        <v>45</v>
      </c>
      <c r="AA4" s="1" t="s">
        <v>46</v>
      </c>
      <c r="AB4" s="1" t="s">
        <v>47</v>
      </c>
      <c r="AC4" s="1" t="s">
        <v>48</v>
      </c>
      <c r="AD4" s="1" t="s">
        <v>49</v>
      </c>
      <c r="AE4" s="1" t="s">
        <v>50</v>
      </c>
      <c r="AF4" s="1" t="s">
        <v>51</v>
      </c>
      <c r="AG4" s="1" t="s">
        <v>52</v>
      </c>
      <c r="AH4" s="1" t="s">
        <v>53</v>
      </c>
      <c r="AI4" s="1" t="s">
        <v>54</v>
      </c>
      <c r="AJ4" s="1" t="s">
        <v>55</v>
      </c>
      <c r="AK4" s="1" t="s">
        <v>56</v>
      </c>
      <c r="AL4" s="1" t="s">
        <v>57</v>
      </c>
      <c r="AM4" s="1" t="s">
        <v>58</v>
      </c>
      <c r="AN4" s="1" t="s">
        <v>59</v>
      </c>
      <c r="AO4" s="1" t="s">
        <v>53</v>
      </c>
      <c r="AP4" s="1" t="s">
        <v>60</v>
      </c>
      <c r="AQ4" s="1" t="s">
        <v>61</v>
      </c>
      <c r="AR4" s="281" t="s">
        <v>62</v>
      </c>
      <c r="AS4" s="252" t="s">
        <v>237</v>
      </c>
      <c r="AT4" s="275" t="s">
        <v>64</v>
      </c>
    </row>
    <row r="5" spans="1:46">
      <c r="I5" s="277"/>
      <c r="J5" s="266"/>
      <c r="K5" s="266"/>
      <c r="L5" s="266"/>
      <c r="M5" s="266"/>
      <c r="N5" s="266"/>
      <c r="O5" s="277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89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78"/>
      <c r="AS5" s="266"/>
      <c r="AT5" s="276"/>
    </row>
    <row r="6" spans="1:46">
      <c r="A6" s="258">
        <v>45383</v>
      </c>
      <c r="C6" s="260" t="s">
        <v>238</v>
      </c>
      <c r="E6" s="259"/>
      <c r="G6" s="263">
        <v>481.22</v>
      </c>
      <c r="I6" s="278"/>
      <c r="J6" s="266"/>
      <c r="K6" s="266"/>
      <c r="L6" s="266"/>
      <c r="M6" s="266"/>
      <c r="N6" s="266"/>
      <c r="O6" s="278"/>
      <c r="P6" s="268"/>
      <c r="Q6" s="266" t="str">
        <f t="shared" ref="Q6:Q12" si="0">IF(ISNUMBER(FIND("foster",LOWER(E6))),-F6," ")</f>
        <v xml:space="preserve"> </v>
      </c>
      <c r="R6" s="266" t="str">
        <f>IF(ISNUMBER(FIND("Service Charge",C6)),-F6," ")</f>
        <v xml:space="preserve"> </v>
      </c>
      <c r="S6" s="266"/>
      <c r="T6" s="266"/>
      <c r="U6" s="266" t="str">
        <f t="shared" ref="U6:U69" si="1">IF(ISNUMBER(FIND("hh",LOWER(E6))),-F6," ")</f>
        <v xml:space="preserve"> </v>
      </c>
      <c r="V6" s="266"/>
      <c r="W6" s="266"/>
      <c r="X6" s="266"/>
      <c r="Y6" s="266"/>
      <c r="Z6" s="266" t="str">
        <f t="shared" ref="Z6" si="2">IF(ISNUMBER(FIND("austen pc",LOWER(E6))),-F6," ")</f>
        <v xml:space="preserve"> </v>
      </c>
      <c r="AA6" s="266"/>
      <c r="AB6" s="266"/>
      <c r="AC6" s="266"/>
      <c r="AD6" s="266"/>
      <c r="AE6" s="266"/>
      <c r="AF6" s="266"/>
      <c r="AG6" s="289"/>
      <c r="AH6" s="266"/>
      <c r="AI6" s="266"/>
      <c r="AJ6" s="266"/>
      <c r="AK6" s="266"/>
      <c r="AL6" s="266"/>
      <c r="AM6" s="266"/>
      <c r="AN6" s="266"/>
      <c r="AO6" s="266"/>
      <c r="AP6" s="266"/>
      <c r="AQ6" s="266"/>
      <c r="AR6" s="278"/>
      <c r="AS6" s="266"/>
      <c r="AT6" s="276">
        <f t="shared" ref="AT6:AT37" si="3">SUM(I6:O6,AS6)-SUM(P6:AR6)-F6</f>
        <v>0</v>
      </c>
    </row>
    <row r="7" spans="1:46">
      <c r="A7" s="258">
        <v>45107</v>
      </c>
      <c r="B7" s="257">
        <v>0.79027777777777775</v>
      </c>
      <c r="C7" s="255" t="s">
        <v>239</v>
      </c>
      <c r="F7" s="256">
        <v>-18</v>
      </c>
      <c r="G7" s="256">
        <v>463.22</v>
      </c>
      <c r="H7" s="267">
        <f t="shared" ref="H7:H38" si="4">G6+F7-G7</f>
        <v>0</v>
      </c>
      <c r="I7" s="278"/>
      <c r="J7" s="266"/>
      <c r="K7" s="266"/>
      <c r="L7" s="266"/>
      <c r="M7" s="266" t="str">
        <f t="shared" ref="M7:M16" si="5">IF(AND(ISNUMBER(FIND("black",LOWER(E7))),F7&gt;0),F7," ")</f>
        <v xml:space="preserve"> </v>
      </c>
      <c r="N7" s="266"/>
      <c r="O7" s="278"/>
      <c r="P7" s="268" t="str">
        <f t="shared" ref="P7:P38" si="6">IF((SUM(I7:O7,Q7:AS7))," ",-F7)</f>
        <v xml:space="preserve"> </v>
      </c>
      <c r="Q7" s="266" t="str">
        <f t="shared" si="0"/>
        <v xml:space="preserve"> </v>
      </c>
      <c r="S7" s="266"/>
      <c r="T7" s="266">
        <f>IF(ISNUMBER(FIND("Service Charge",C7)),-F7," ")</f>
        <v>18</v>
      </c>
      <c r="U7" s="266" t="str">
        <f t="shared" si="1"/>
        <v xml:space="preserve"> </v>
      </c>
      <c r="V7" s="266"/>
      <c r="W7" s="266"/>
      <c r="X7" s="266"/>
      <c r="Y7" s="266"/>
      <c r="Z7" s="266" t="str">
        <f t="shared" ref="Z7:Z55" si="7">IF(ISNUMBER(FIND("austen",LOWER(E7))),-F7," ")</f>
        <v xml:space="preserve"> </v>
      </c>
      <c r="AA7" s="266"/>
      <c r="AB7" s="266"/>
      <c r="AC7" s="266"/>
      <c r="AD7" s="266"/>
      <c r="AE7" s="266"/>
      <c r="AF7" s="266"/>
      <c r="AG7" s="289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78" t="str">
        <f t="shared" ref="AR7:AR38" si="8">IF(AND(ISNUMBER(FIND("black",LOWER(E7))),F7&lt;0),-F7," ")</f>
        <v xml:space="preserve"> </v>
      </c>
      <c r="AS7" s="266"/>
      <c r="AT7" s="276">
        <f t="shared" si="3"/>
        <v>0</v>
      </c>
    </row>
    <row r="8" spans="1:46">
      <c r="A8" s="258">
        <v>45195</v>
      </c>
      <c r="B8" s="257">
        <v>0.43541666666666667</v>
      </c>
      <c r="C8" s="255" t="s">
        <v>240</v>
      </c>
      <c r="E8" s="255" t="s">
        <v>241</v>
      </c>
      <c r="F8" s="256">
        <v>-460</v>
      </c>
      <c r="G8" s="256">
        <v>3.22</v>
      </c>
      <c r="H8" s="267">
        <f t="shared" si="4"/>
        <v>2.708944180085382E-14</v>
      </c>
      <c r="I8" s="278"/>
      <c r="J8" s="266"/>
      <c r="K8" s="266"/>
      <c r="L8" s="266"/>
      <c r="M8" s="266" t="str">
        <f t="shared" si="5"/>
        <v xml:space="preserve"> </v>
      </c>
      <c r="N8" s="266"/>
      <c r="O8" s="278"/>
      <c r="P8" s="268" t="str">
        <f t="shared" si="6"/>
        <v xml:space="preserve"> </v>
      </c>
      <c r="Q8" s="266" t="str">
        <f t="shared" si="0"/>
        <v xml:space="preserve"> </v>
      </c>
      <c r="S8" s="266"/>
      <c r="T8" s="266" t="str">
        <f>IF(ISNUMBER(FIND("Service Charge",C8)),-F8," ")</f>
        <v xml:space="preserve"> </v>
      </c>
      <c r="U8" s="266" t="str">
        <f t="shared" si="1"/>
        <v xml:space="preserve"> </v>
      </c>
      <c r="V8" s="266"/>
      <c r="W8" s="266"/>
      <c r="X8" s="266"/>
      <c r="Y8" s="266"/>
      <c r="Z8" s="266" t="str">
        <f t="shared" si="7"/>
        <v xml:space="preserve"> </v>
      </c>
      <c r="AA8" s="266"/>
      <c r="AB8" s="266"/>
      <c r="AC8" s="266"/>
      <c r="AD8" s="266"/>
      <c r="AE8" s="266"/>
      <c r="AF8" s="266"/>
      <c r="AG8" s="289">
        <f>-F8</f>
        <v>460</v>
      </c>
      <c r="AH8" s="266"/>
      <c r="AI8" s="266"/>
      <c r="AJ8" s="266"/>
      <c r="AK8" s="266"/>
      <c r="AL8" s="266"/>
      <c r="AM8" s="266"/>
      <c r="AN8" s="266"/>
      <c r="AO8" s="266"/>
      <c r="AP8" s="266"/>
      <c r="AQ8" s="266"/>
      <c r="AR8" s="278" t="str">
        <f t="shared" si="8"/>
        <v xml:space="preserve"> </v>
      </c>
      <c r="AS8" s="266"/>
      <c r="AT8" s="276">
        <f t="shared" si="3"/>
        <v>0</v>
      </c>
    </row>
    <row r="9" spans="1:46">
      <c r="A9" s="258">
        <v>45199</v>
      </c>
      <c r="B9" s="257">
        <v>0.79027777777777775</v>
      </c>
      <c r="C9" s="255" t="s">
        <v>239</v>
      </c>
      <c r="F9" s="256">
        <v>-18</v>
      </c>
      <c r="G9" s="256">
        <v>-14.78</v>
      </c>
      <c r="H9" s="267">
        <f t="shared" si="4"/>
        <v>0</v>
      </c>
      <c r="I9" s="278"/>
      <c r="J9" s="266"/>
      <c r="K9" s="266"/>
      <c r="L9" s="266"/>
      <c r="M9" s="266" t="str">
        <f t="shared" si="5"/>
        <v xml:space="preserve"> </v>
      </c>
      <c r="N9" s="266"/>
      <c r="O9" s="278"/>
      <c r="P9" s="268" t="str">
        <f t="shared" si="6"/>
        <v xml:space="preserve"> </v>
      </c>
      <c r="Q9" s="266" t="str">
        <f t="shared" si="0"/>
        <v xml:space="preserve"> </v>
      </c>
      <c r="S9" s="266"/>
      <c r="T9" s="266">
        <f>IF(ISNUMBER(FIND("Service Charge",C9)),-F9," ")</f>
        <v>18</v>
      </c>
      <c r="U9" s="266" t="str">
        <f t="shared" si="1"/>
        <v xml:space="preserve"> </v>
      </c>
      <c r="V9" s="266"/>
      <c r="W9" s="266"/>
      <c r="X9" s="266"/>
      <c r="Y9" s="266"/>
      <c r="Z9" s="266" t="str">
        <f t="shared" si="7"/>
        <v xml:space="preserve"> </v>
      </c>
      <c r="AA9" s="266"/>
      <c r="AB9" s="266"/>
      <c r="AC9" s="266"/>
      <c r="AD9" s="266"/>
      <c r="AE9" s="266"/>
      <c r="AF9" s="266"/>
      <c r="AG9" s="289"/>
      <c r="AH9" s="266"/>
      <c r="AI9" s="266"/>
      <c r="AJ9" s="266"/>
      <c r="AK9" s="266"/>
      <c r="AL9" s="266"/>
      <c r="AM9" s="266"/>
      <c r="AN9" s="266"/>
      <c r="AO9" s="266"/>
      <c r="AP9" s="266"/>
      <c r="AQ9" s="266"/>
      <c r="AR9" s="278" t="str">
        <f t="shared" si="8"/>
        <v xml:space="preserve"> </v>
      </c>
      <c r="AS9" s="266"/>
      <c r="AT9" s="276">
        <f t="shared" si="3"/>
        <v>0</v>
      </c>
    </row>
    <row r="10" spans="1:46">
      <c r="A10" s="258">
        <v>45217</v>
      </c>
      <c r="B10" s="257">
        <v>0.27291666666666664</v>
      </c>
      <c r="C10" s="255" t="s">
        <v>242</v>
      </c>
      <c r="D10" s="255">
        <v>123456</v>
      </c>
      <c r="F10" s="256">
        <v>5000</v>
      </c>
      <c r="G10" s="256">
        <v>4985.22</v>
      </c>
      <c r="H10" s="267">
        <f t="shared" si="4"/>
        <v>0</v>
      </c>
      <c r="I10" s="278"/>
      <c r="J10" s="266"/>
      <c r="K10" s="266"/>
      <c r="L10" s="266"/>
      <c r="M10" s="266" t="str">
        <f t="shared" si="5"/>
        <v xml:space="preserve"> </v>
      </c>
      <c r="N10" s="266"/>
      <c r="O10" s="278"/>
      <c r="P10" s="268" t="str">
        <f t="shared" si="6"/>
        <v xml:space="preserve"> </v>
      </c>
      <c r="Q10" s="266" t="str">
        <f t="shared" si="0"/>
        <v xml:space="preserve"> </v>
      </c>
      <c r="R10" s="266" t="str">
        <f t="shared" ref="R10:R71" si="9">IF(ISNUMBER(FIND("Service Charge",C10)),-F10," ")</f>
        <v xml:space="preserve"> </v>
      </c>
      <c r="S10" s="266"/>
      <c r="T10" s="266"/>
      <c r="U10" s="266" t="str">
        <f t="shared" si="1"/>
        <v xml:space="preserve"> </v>
      </c>
      <c r="V10" s="266"/>
      <c r="W10" s="266"/>
      <c r="X10" s="266"/>
      <c r="Y10" s="266"/>
      <c r="Z10" s="266" t="str">
        <f t="shared" si="7"/>
        <v xml:space="preserve"> </v>
      </c>
      <c r="AA10" s="266"/>
      <c r="AB10" s="266"/>
      <c r="AC10" s="266"/>
      <c r="AD10" s="266"/>
      <c r="AE10" s="266"/>
      <c r="AF10" s="266"/>
      <c r="AG10" s="289"/>
      <c r="AH10" s="266"/>
      <c r="AI10" s="266"/>
      <c r="AJ10" s="266"/>
      <c r="AK10" s="266"/>
      <c r="AL10" s="266"/>
      <c r="AM10" s="266"/>
      <c r="AN10" s="266"/>
      <c r="AO10" s="266"/>
      <c r="AP10" s="266"/>
      <c r="AQ10" s="266"/>
      <c r="AR10" s="278" t="str">
        <f t="shared" si="8"/>
        <v xml:space="preserve"> </v>
      </c>
      <c r="AS10" s="266">
        <f>F10</f>
        <v>5000</v>
      </c>
      <c r="AT10" s="276">
        <f t="shared" si="3"/>
        <v>0</v>
      </c>
    </row>
    <row r="11" spans="1:46">
      <c r="A11" s="258">
        <v>45246</v>
      </c>
      <c r="B11" s="257">
        <v>0.5444444444444444</v>
      </c>
      <c r="C11" s="255" t="s">
        <v>243</v>
      </c>
      <c r="E11" s="255" t="s">
        <v>244</v>
      </c>
      <c r="F11" s="256">
        <v>-250</v>
      </c>
      <c r="G11" s="256">
        <v>4735.22</v>
      </c>
      <c r="H11" s="267">
        <f t="shared" si="4"/>
        <v>0</v>
      </c>
      <c r="I11" s="278"/>
      <c r="J11" s="266"/>
      <c r="K11" s="266"/>
      <c r="L11" s="266"/>
      <c r="M11" s="266" t="str">
        <f t="shared" si="5"/>
        <v xml:space="preserve"> </v>
      </c>
      <c r="N11" s="266"/>
      <c r="O11" s="278"/>
      <c r="P11" s="268" t="str">
        <f t="shared" si="6"/>
        <v xml:space="preserve"> </v>
      </c>
      <c r="Q11" s="266" t="str">
        <f t="shared" si="0"/>
        <v xml:space="preserve"> </v>
      </c>
      <c r="R11" s="266" t="str">
        <f t="shared" si="9"/>
        <v xml:space="preserve"> </v>
      </c>
      <c r="S11" s="266"/>
      <c r="T11" s="266"/>
      <c r="U11" s="266" t="str">
        <f t="shared" si="1"/>
        <v xml:space="preserve"> </v>
      </c>
      <c r="V11" s="266"/>
      <c r="W11" s="266"/>
      <c r="X11" s="266"/>
      <c r="Y11" s="266"/>
      <c r="Z11" s="266" t="str">
        <f t="shared" si="7"/>
        <v xml:space="preserve"> </v>
      </c>
      <c r="AA11" s="266"/>
      <c r="AB11" s="266"/>
      <c r="AC11" s="266"/>
      <c r="AD11" s="266"/>
      <c r="AE11" s="266"/>
      <c r="AF11" s="266"/>
      <c r="AG11" s="289"/>
      <c r="AH11" s="266"/>
      <c r="AI11" s="266"/>
      <c r="AJ11" s="266"/>
      <c r="AK11" s="266"/>
      <c r="AL11" s="266"/>
      <c r="AM11" s="289">
        <f>-F11</f>
        <v>250</v>
      </c>
      <c r="AN11" s="266"/>
      <c r="AO11" s="266"/>
      <c r="AP11" s="266"/>
      <c r="AQ11" s="266"/>
      <c r="AR11" s="278" t="str">
        <f t="shared" si="8"/>
        <v xml:space="preserve"> </v>
      </c>
      <c r="AS11" s="266"/>
      <c r="AT11" s="276">
        <f t="shared" si="3"/>
        <v>0</v>
      </c>
    </row>
    <row r="12" spans="1:46">
      <c r="A12" s="258">
        <v>45246</v>
      </c>
      <c r="B12" s="257">
        <v>0.5444444444444444</v>
      </c>
      <c r="C12" s="255" t="s">
        <v>245</v>
      </c>
      <c r="E12" s="255" t="s">
        <v>246</v>
      </c>
      <c r="F12" s="256">
        <v>-160</v>
      </c>
      <c r="G12" s="256">
        <v>4575.22</v>
      </c>
      <c r="H12" s="267">
        <f t="shared" si="4"/>
        <v>0</v>
      </c>
      <c r="I12" s="278"/>
      <c r="J12" s="266"/>
      <c r="K12" s="266"/>
      <c r="L12" s="266"/>
      <c r="M12" s="266" t="str">
        <f t="shared" si="5"/>
        <v xml:space="preserve"> </v>
      </c>
      <c r="N12" s="266"/>
      <c r="O12" s="278"/>
      <c r="P12" s="268" t="str">
        <f t="shared" si="6"/>
        <v xml:space="preserve"> </v>
      </c>
      <c r="Q12" s="266" t="str">
        <f t="shared" si="0"/>
        <v xml:space="preserve"> </v>
      </c>
      <c r="R12" s="266" t="str">
        <f t="shared" si="9"/>
        <v xml:space="preserve"> </v>
      </c>
      <c r="S12" s="266"/>
      <c r="T12" s="266"/>
      <c r="U12" s="266" t="str">
        <f t="shared" si="1"/>
        <v xml:space="preserve"> </v>
      </c>
      <c r="V12" s="266"/>
      <c r="W12" s="266"/>
      <c r="X12" s="266"/>
      <c r="Y12" s="266"/>
      <c r="Z12" s="266" t="str">
        <f t="shared" si="7"/>
        <v xml:space="preserve"> </v>
      </c>
      <c r="AA12" s="266">
        <f>-F12</f>
        <v>160</v>
      </c>
      <c r="AB12" s="266"/>
      <c r="AC12" s="266"/>
      <c r="AD12" s="266"/>
      <c r="AE12" s="266"/>
      <c r="AF12" s="266"/>
      <c r="AG12" s="289"/>
      <c r="AH12" s="266"/>
      <c r="AI12" s="266"/>
      <c r="AJ12" s="266"/>
      <c r="AK12" s="266"/>
      <c r="AL12" s="266"/>
      <c r="AM12" s="266"/>
      <c r="AN12" s="266"/>
      <c r="AO12" s="266"/>
      <c r="AP12" s="266"/>
      <c r="AQ12" s="266"/>
      <c r="AR12" s="278" t="str">
        <f t="shared" si="8"/>
        <v xml:space="preserve"> </v>
      </c>
      <c r="AS12" s="266"/>
      <c r="AT12" s="276">
        <f t="shared" si="3"/>
        <v>0</v>
      </c>
    </row>
    <row r="13" spans="1:46">
      <c r="A13" s="258">
        <v>45246</v>
      </c>
      <c r="B13" s="257">
        <v>0.5444444444444444</v>
      </c>
      <c r="C13" s="255" t="s">
        <v>247</v>
      </c>
      <c r="E13" s="255" t="s">
        <v>248</v>
      </c>
      <c r="F13" s="256">
        <v>-794.63</v>
      </c>
      <c r="G13" s="256">
        <v>3780.59</v>
      </c>
      <c r="H13" s="267">
        <f t="shared" si="4"/>
        <v>0</v>
      </c>
      <c r="I13" s="278"/>
      <c r="J13" s="266"/>
      <c r="K13" s="266"/>
      <c r="L13" s="266"/>
      <c r="M13" s="266" t="str">
        <f t="shared" si="5"/>
        <v xml:space="preserve"> </v>
      </c>
      <c r="N13" s="266"/>
      <c r="O13" s="278"/>
      <c r="P13" s="268" t="str">
        <f t="shared" si="6"/>
        <v xml:space="preserve"> </v>
      </c>
      <c r="Q13" s="266">
        <f>IF(ISNUMBER(FIND("foster",LOWER(E13))),-F13," ")</f>
        <v>794.63</v>
      </c>
      <c r="R13" s="266" t="str">
        <f t="shared" si="9"/>
        <v xml:space="preserve"> </v>
      </c>
      <c r="S13" s="266"/>
      <c r="T13" s="266"/>
      <c r="U13" s="266" t="str">
        <f t="shared" si="1"/>
        <v xml:space="preserve"> </v>
      </c>
      <c r="V13" s="266"/>
      <c r="W13" s="266"/>
      <c r="X13" s="266"/>
      <c r="Y13" s="266"/>
      <c r="Z13" s="266" t="str">
        <f t="shared" si="7"/>
        <v xml:space="preserve"> </v>
      </c>
      <c r="AA13" s="266"/>
      <c r="AB13" s="266"/>
      <c r="AC13" s="266"/>
      <c r="AD13" s="266"/>
      <c r="AE13" s="266"/>
      <c r="AF13" s="266"/>
      <c r="AG13" s="289"/>
      <c r="AH13" s="266"/>
      <c r="AI13" s="266"/>
      <c r="AJ13" s="266"/>
      <c r="AK13" s="266"/>
      <c r="AL13" s="266"/>
      <c r="AM13" s="266"/>
      <c r="AN13" s="266"/>
      <c r="AO13" s="266"/>
      <c r="AP13" s="266"/>
      <c r="AQ13" s="266"/>
      <c r="AR13" s="278" t="str">
        <f t="shared" si="8"/>
        <v xml:space="preserve"> </v>
      </c>
      <c r="AS13" s="266"/>
      <c r="AT13" s="276">
        <f t="shared" si="3"/>
        <v>0</v>
      </c>
    </row>
    <row r="14" spans="1:46">
      <c r="A14" s="258">
        <v>45246</v>
      </c>
      <c r="B14" s="257">
        <v>0.5444444444444444</v>
      </c>
      <c r="C14" s="255" t="s">
        <v>249</v>
      </c>
      <c r="E14" s="255" t="s">
        <v>250</v>
      </c>
      <c r="F14" s="256">
        <v>-325</v>
      </c>
      <c r="G14" s="256">
        <v>3455.59</v>
      </c>
      <c r="H14" s="267">
        <f t="shared" si="4"/>
        <v>0</v>
      </c>
      <c r="I14" s="278"/>
      <c r="J14" s="266"/>
      <c r="K14" s="266"/>
      <c r="L14" s="266"/>
      <c r="M14" s="266" t="str">
        <f t="shared" si="5"/>
        <v xml:space="preserve"> </v>
      </c>
      <c r="N14" s="266"/>
      <c r="O14" s="278"/>
      <c r="P14" s="268" t="str">
        <f t="shared" si="6"/>
        <v xml:space="preserve"> </v>
      </c>
      <c r="Q14" s="266" t="str">
        <f t="shared" ref="Q14:Q77" si="10">IF(ISNUMBER(FIND("foster",LOWER(E14))),-F14," ")</f>
        <v xml:space="preserve"> </v>
      </c>
      <c r="R14" s="266" t="str">
        <f t="shared" si="9"/>
        <v xml:space="preserve"> </v>
      </c>
      <c r="S14" s="266"/>
      <c r="T14" s="266"/>
      <c r="U14" s="266" t="str">
        <f t="shared" si="1"/>
        <v xml:space="preserve"> </v>
      </c>
      <c r="V14" s="266"/>
      <c r="W14" s="266"/>
      <c r="X14" s="266"/>
      <c r="Y14" s="266"/>
      <c r="Z14" s="266">
        <f t="shared" si="7"/>
        <v>325</v>
      </c>
      <c r="AA14" s="266"/>
      <c r="AB14" s="266"/>
      <c r="AC14" s="266"/>
      <c r="AD14" s="266"/>
      <c r="AE14" s="266"/>
      <c r="AF14" s="266"/>
      <c r="AG14" s="289"/>
      <c r="AH14" s="266"/>
      <c r="AI14" s="266"/>
      <c r="AJ14" s="266"/>
      <c r="AK14" s="266"/>
      <c r="AL14" s="266"/>
      <c r="AM14" s="266"/>
      <c r="AN14" s="266"/>
      <c r="AO14" s="266"/>
      <c r="AP14" s="266"/>
      <c r="AQ14" s="266"/>
      <c r="AR14" s="278" t="str">
        <f t="shared" si="8"/>
        <v xml:space="preserve"> </v>
      </c>
      <c r="AS14" s="266"/>
      <c r="AT14" s="276">
        <f t="shared" si="3"/>
        <v>0</v>
      </c>
    </row>
    <row r="15" spans="1:46">
      <c r="A15" s="258">
        <v>45279</v>
      </c>
      <c r="B15" s="257">
        <v>0.46041666666666664</v>
      </c>
      <c r="C15" s="255" t="s">
        <v>251</v>
      </c>
      <c r="E15" s="255" t="s">
        <v>252</v>
      </c>
      <c r="F15" s="256">
        <v>-76.16</v>
      </c>
      <c r="G15" s="256">
        <v>3379.43</v>
      </c>
      <c r="H15" s="267">
        <f t="shared" si="4"/>
        <v>0</v>
      </c>
      <c r="I15" s="278"/>
      <c r="J15" s="266"/>
      <c r="K15" s="266"/>
      <c r="L15" s="266"/>
      <c r="M15" s="266" t="str">
        <f t="shared" si="5"/>
        <v xml:space="preserve"> </v>
      </c>
      <c r="N15" s="266"/>
      <c r="O15" s="278"/>
      <c r="P15" s="268" t="str">
        <f t="shared" si="6"/>
        <v xml:space="preserve"> </v>
      </c>
      <c r="Q15" s="266" t="str">
        <f t="shared" si="10"/>
        <v xml:space="preserve"> </v>
      </c>
      <c r="R15" s="266" t="str">
        <f t="shared" si="9"/>
        <v xml:space="preserve"> </v>
      </c>
      <c r="S15" s="266"/>
      <c r="T15" s="266"/>
      <c r="U15" s="266">
        <f t="shared" si="1"/>
        <v>76.16</v>
      </c>
      <c r="V15" s="266"/>
      <c r="W15" s="266"/>
      <c r="X15" s="266"/>
      <c r="Y15" s="266"/>
      <c r="Z15" s="266" t="str">
        <f t="shared" si="7"/>
        <v xml:space="preserve"> </v>
      </c>
      <c r="AA15" s="266"/>
      <c r="AB15" s="266"/>
      <c r="AC15" s="266"/>
      <c r="AD15" s="266"/>
      <c r="AE15" s="266"/>
      <c r="AF15" s="266"/>
      <c r="AG15" s="289"/>
      <c r="AH15" s="266"/>
      <c r="AI15" s="266"/>
      <c r="AJ15" s="266"/>
      <c r="AK15" s="266"/>
      <c r="AL15" s="266"/>
      <c r="AM15" s="266"/>
      <c r="AN15" s="266"/>
      <c r="AO15" s="266"/>
      <c r="AP15" s="266"/>
      <c r="AQ15" s="266"/>
      <c r="AR15" s="278" t="str">
        <f t="shared" si="8"/>
        <v xml:space="preserve"> </v>
      </c>
      <c r="AS15" s="266"/>
      <c r="AT15" s="276">
        <f t="shared" si="3"/>
        <v>0</v>
      </c>
    </row>
    <row r="16" spans="1:46">
      <c r="A16" s="258">
        <v>45279</v>
      </c>
      <c r="B16" s="257">
        <v>0.46041666666666664</v>
      </c>
      <c r="C16" s="255" t="s">
        <v>247</v>
      </c>
      <c r="E16" s="255" t="s">
        <v>253</v>
      </c>
      <c r="F16" s="256">
        <v>-718.47</v>
      </c>
      <c r="G16" s="256">
        <v>2660.96</v>
      </c>
      <c r="H16" s="267">
        <f t="shared" si="4"/>
        <v>0</v>
      </c>
      <c r="I16" s="278"/>
      <c r="J16" s="266"/>
      <c r="K16" s="266"/>
      <c r="L16" s="266"/>
      <c r="M16" s="266" t="str">
        <f t="shared" si="5"/>
        <v xml:space="preserve"> </v>
      </c>
      <c r="N16" s="266"/>
      <c r="O16" s="278"/>
      <c r="P16" s="268" t="str">
        <f t="shared" si="6"/>
        <v xml:space="preserve"> </v>
      </c>
      <c r="Q16" s="266">
        <f t="shared" si="10"/>
        <v>718.47</v>
      </c>
      <c r="R16" s="266" t="str">
        <f t="shared" si="9"/>
        <v xml:space="preserve"> </v>
      </c>
      <c r="S16" s="266"/>
      <c r="T16" s="266"/>
      <c r="U16" s="266" t="str">
        <f t="shared" si="1"/>
        <v xml:space="preserve"> </v>
      </c>
      <c r="V16" s="266"/>
      <c r="W16" s="266"/>
      <c r="X16" s="266"/>
      <c r="Y16" s="266"/>
      <c r="Z16" s="266" t="str">
        <f t="shared" si="7"/>
        <v xml:space="preserve"> </v>
      </c>
      <c r="AA16" s="266"/>
      <c r="AB16" s="266"/>
      <c r="AC16" s="266"/>
      <c r="AD16" s="266"/>
      <c r="AE16" s="266"/>
      <c r="AF16" s="266"/>
      <c r="AG16" s="289"/>
      <c r="AH16" s="266"/>
      <c r="AI16" s="266"/>
      <c r="AJ16" s="266"/>
      <c r="AK16" s="266"/>
      <c r="AL16" s="266"/>
      <c r="AM16" s="266"/>
      <c r="AN16" s="266"/>
      <c r="AO16" s="266"/>
      <c r="AP16" s="266"/>
      <c r="AQ16" s="266"/>
      <c r="AR16" s="278" t="str">
        <f t="shared" si="8"/>
        <v xml:space="preserve"> </v>
      </c>
      <c r="AS16" s="266"/>
      <c r="AT16" s="276">
        <f t="shared" si="3"/>
        <v>0</v>
      </c>
    </row>
    <row r="17" spans="1:46">
      <c r="A17" s="258">
        <v>45279</v>
      </c>
      <c r="B17" s="257">
        <v>0.46041666666666664</v>
      </c>
      <c r="C17" s="255" t="s">
        <v>249</v>
      </c>
      <c r="E17" s="255" t="s">
        <v>254</v>
      </c>
      <c r="F17" s="256">
        <v>-260</v>
      </c>
      <c r="G17" s="256">
        <v>2400.96</v>
      </c>
      <c r="H17" s="267">
        <f t="shared" si="4"/>
        <v>0</v>
      </c>
      <c r="I17" s="278"/>
      <c r="J17" s="266"/>
      <c r="K17" s="266"/>
      <c r="L17" s="266"/>
      <c r="M17" s="266" t="str">
        <f>IF(AND(ISNUMBER(FIND("black",LOWER(E17))),F17&gt;0),F17," ")</f>
        <v xml:space="preserve"> </v>
      </c>
      <c r="N17" s="266"/>
      <c r="O17" s="278"/>
      <c r="P17" s="268" t="str">
        <f t="shared" si="6"/>
        <v xml:space="preserve"> </v>
      </c>
      <c r="Q17" s="266" t="str">
        <f t="shared" si="10"/>
        <v xml:space="preserve"> </v>
      </c>
      <c r="R17" s="266" t="str">
        <f t="shared" si="9"/>
        <v xml:space="preserve"> </v>
      </c>
      <c r="S17" s="266"/>
      <c r="T17" s="266"/>
      <c r="U17" s="266" t="str">
        <f t="shared" si="1"/>
        <v xml:space="preserve"> </v>
      </c>
      <c r="V17" s="266"/>
      <c r="W17" s="266"/>
      <c r="X17" s="266"/>
      <c r="Y17" s="266"/>
      <c r="Z17" s="266">
        <f t="shared" si="7"/>
        <v>260</v>
      </c>
      <c r="AA17" s="266"/>
      <c r="AB17" s="266"/>
      <c r="AC17" s="266"/>
      <c r="AD17" s="266"/>
      <c r="AE17" s="266"/>
      <c r="AF17" s="266"/>
      <c r="AG17" s="289"/>
      <c r="AH17" s="266"/>
      <c r="AI17" s="266"/>
      <c r="AJ17" s="266"/>
      <c r="AK17" s="266"/>
      <c r="AL17" s="266"/>
      <c r="AM17" s="266"/>
      <c r="AN17" s="266"/>
      <c r="AO17" s="266"/>
      <c r="AP17" s="266"/>
      <c r="AQ17" s="266"/>
      <c r="AR17" s="278" t="str">
        <f t="shared" si="8"/>
        <v xml:space="preserve"> </v>
      </c>
      <c r="AS17" s="266"/>
      <c r="AT17" s="276">
        <f t="shared" si="3"/>
        <v>0</v>
      </c>
    </row>
    <row r="18" spans="1:46">
      <c r="A18" s="258">
        <v>45280</v>
      </c>
      <c r="B18" s="257">
        <v>0.64652777777777781</v>
      </c>
      <c r="C18" s="255" t="s">
        <v>255</v>
      </c>
      <c r="E18" s="255" t="s">
        <v>256</v>
      </c>
      <c r="F18" s="256">
        <v>100</v>
      </c>
      <c r="G18" s="256">
        <v>2500.96</v>
      </c>
      <c r="H18" s="267">
        <f t="shared" si="4"/>
        <v>0</v>
      </c>
      <c r="I18" s="278"/>
      <c r="J18" s="266"/>
      <c r="K18" s="266"/>
      <c r="L18" s="266"/>
      <c r="M18" s="266">
        <f t="shared" ref="M18:M79" si="11">IF(AND(ISNUMBER(FIND("black",LOWER(E18))),F18&gt;0),F18," ")</f>
        <v>100</v>
      </c>
      <c r="N18" s="266"/>
      <c r="O18" s="278"/>
      <c r="P18" s="268" t="str">
        <f t="shared" si="6"/>
        <v xml:space="preserve"> </v>
      </c>
      <c r="Q18" s="266" t="str">
        <f t="shared" si="10"/>
        <v xml:space="preserve"> </v>
      </c>
      <c r="R18" s="266" t="str">
        <f t="shared" si="9"/>
        <v xml:space="preserve"> </v>
      </c>
      <c r="S18" s="266"/>
      <c r="T18" s="266"/>
      <c r="U18" s="266" t="str">
        <f t="shared" si="1"/>
        <v xml:space="preserve"> </v>
      </c>
      <c r="V18" s="266"/>
      <c r="W18" s="266"/>
      <c r="X18" s="266"/>
      <c r="Y18" s="266"/>
      <c r="Z18" s="266" t="str">
        <f t="shared" si="7"/>
        <v xml:space="preserve"> </v>
      </c>
      <c r="AA18" s="266"/>
      <c r="AB18" s="266"/>
      <c r="AC18" s="266"/>
      <c r="AD18" s="266"/>
      <c r="AE18" s="266"/>
      <c r="AF18" s="266"/>
      <c r="AG18" s="289"/>
      <c r="AH18" s="266"/>
      <c r="AI18" s="266"/>
      <c r="AJ18" s="266"/>
      <c r="AK18" s="266"/>
      <c r="AL18" s="266"/>
      <c r="AM18" s="266"/>
      <c r="AN18" s="266"/>
      <c r="AO18" s="266"/>
      <c r="AP18" s="266"/>
      <c r="AQ18" s="266"/>
      <c r="AR18" s="278" t="str">
        <f t="shared" si="8"/>
        <v xml:space="preserve"> </v>
      </c>
      <c r="AS18" s="266"/>
      <c r="AT18" s="276">
        <f t="shared" si="3"/>
        <v>0</v>
      </c>
    </row>
    <row r="19" spans="1:46">
      <c r="A19" s="258">
        <v>45280</v>
      </c>
      <c r="B19" s="257">
        <v>0.64652777777777781</v>
      </c>
      <c r="C19" s="255" t="s">
        <v>257</v>
      </c>
      <c r="E19" s="255" t="s">
        <v>258</v>
      </c>
      <c r="F19" s="256">
        <v>100</v>
      </c>
      <c r="G19" s="256">
        <v>2600.96</v>
      </c>
      <c r="H19" s="267">
        <f t="shared" si="4"/>
        <v>0</v>
      </c>
      <c r="I19" s="278"/>
      <c r="J19" s="266"/>
      <c r="K19" s="266"/>
      <c r="L19" s="266"/>
      <c r="M19" s="266">
        <f t="shared" si="11"/>
        <v>100</v>
      </c>
      <c r="N19" s="266"/>
      <c r="O19" s="278"/>
      <c r="P19" s="268" t="str">
        <f t="shared" si="6"/>
        <v xml:space="preserve"> </v>
      </c>
      <c r="Q19" s="266" t="str">
        <f t="shared" si="10"/>
        <v xml:space="preserve"> </v>
      </c>
      <c r="R19" s="266" t="str">
        <f t="shared" si="9"/>
        <v xml:space="preserve"> </v>
      </c>
      <c r="S19" s="266"/>
      <c r="T19" s="266"/>
      <c r="U19" s="266" t="str">
        <f t="shared" si="1"/>
        <v xml:space="preserve"> </v>
      </c>
      <c r="V19" s="266"/>
      <c r="W19" s="266"/>
      <c r="X19" s="266"/>
      <c r="Y19" s="266"/>
      <c r="Z19" s="266" t="str">
        <f t="shared" si="7"/>
        <v xml:space="preserve"> </v>
      </c>
      <c r="AA19" s="266"/>
      <c r="AB19" s="266"/>
      <c r="AC19" s="266"/>
      <c r="AD19" s="266"/>
      <c r="AE19" s="266"/>
      <c r="AF19" s="266"/>
      <c r="AG19" s="289"/>
      <c r="AH19" s="266"/>
      <c r="AI19" s="266"/>
      <c r="AJ19" s="266"/>
      <c r="AK19" s="266"/>
      <c r="AL19" s="266"/>
      <c r="AM19" s="266"/>
      <c r="AN19" s="266"/>
      <c r="AO19" s="266"/>
      <c r="AP19" s="266"/>
      <c r="AQ19" s="266"/>
      <c r="AR19" s="278" t="str">
        <f t="shared" si="8"/>
        <v xml:space="preserve"> </v>
      </c>
      <c r="AS19" s="266"/>
      <c r="AT19" s="276">
        <f t="shared" si="3"/>
        <v>0</v>
      </c>
    </row>
    <row r="20" spans="1:46">
      <c r="A20" s="258">
        <v>45280</v>
      </c>
      <c r="B20" s="257">
        <v>0.64652777777777781</v>
      </c>
      <c r="C20" s="255" t="s">
        <v>259</v>
      </c>
      <c r="E20" s="255" t="s">
        <v>256</v>
      </c>
      <c r="F20" s="256">
        <v>100</v>
      </c>
      <c r="G20" s="256">
        <v>2700.96</v>
      </c>
      <c r="H20" s="267">
        <f t="shared" si="4"/>
        <v>0</v>
      </c>
      <c r="I20" s="278"/>
      <c r="J20" s="266"/>
      <c r="K20" s="266"/>
      <c r="L20" s="266"/>
      <c r="M20" s="266">
        <f t="shared" si="11"/>
        <v>100</v>
      </c>
      <c r="N20" s="266"/>
      <c r="O20" s="278"/>
      <c r="P20" s="268" t="str">
        <f t="shared" si="6"/>
        <v xml:space="preserve"> </v>
      </c>
      <c r="Q20" s="266" t="str">
        <f t="shared" si="10"/>
        <v xml:space="preserve"> </v>
      </c>
      <c r="R20" s="266" t="str">
        <f t="shared" si="9"/>
        <v xml:space="preserve"> </v>
      </c>
      <c r="S20" s="266"/>
      <c r="T20" s="266"/>
      <c r="U20" s="266" t="str">
        <f t="shared" si="1"/>
        <v xml:space="preserve"> </v>
      </c>
      <c r="V20" s="266"/>
      <c r="W20" s="266"/>
      <c r="X20" s="266"/>
      <c r="Y20" s="266"/>
      <c r="Z20" s="266" t="str">
        <f t="shared" si="7"/>
        <v xml:space="preserve"> </v>
      </c>
      <c r="AA20" s="266"/>
      <c r="AB20" s="266"/>
      <c r="AC20" s="266"/>
      <c r="AD20" s="266"/>
      <c r="AE20" s="266"/>
      <c r="AF20" s="266"/>
      <c r="AG20" s="289"/>
      <c r="AH20" s="266"/>
      <c r="AI20" s="266"/>
      <c r="AJ20" s="266"/>
      <c r="AK20" s="266"/>
      <c r="AL20" s="266"/>
      <c r="AM20" s="266"/>
      <c r="AN20" s="266"/>
      <c r="AO20" s="266"/>
      <c r="AP20" s="266"/>
      <c r="AQ20" s="266"/>
      <c r="AR20" s="278" t="str">
        <f t="shared" si="8"/>
        <v xml:space="preserve"> </v>
      </c>
      <c r="AS20" s="266"/>
      <c r="AT20" s="276">
        <f t="shared" si="3"/>
        <v>0</v>
      </c>
    </row>
    <row r="21" spans="1:46">
      <c r="A21" s="258">
        <v>45280</v>
      </c>
      <c r="B21" s="257">
        <v>0.77569444444444446</v>
      </c>
      <c r="C21" s="255" t="s">
        <v>260</v>
      </c>
      <c r="E21" s="255" t="s">
        <v>256</v>
      </c>
      <c r="F21" s="256">
        <v>100</v>
      </c>
      <c r="G21" s="256">
        <v>2800.96</v>
      </c>
      <c r="H21" s="267">
        <f t="shared" si="4"/>
        <v>0</v>
      </c>
      <c r="I21" s="278"/>
      <c r="J21" s="266"/>
      <c r="K21" s="266"/>
      <c r="L21" s="266"/>
      <c r="M21" s="266">
        <f t="shared" si="11"/>
        <v>100</v>
      </c>
      <c r="N21" s="266"/>
      <c r="O21" s="278"/>
      <c r="P21" s="268" t="str">
        <f t="shared" si="6"/>
        <v xml:space="preserve"> </v>
      </c>
      <c r="Q21" s="266" t="str">
        <f t="shared" si="10"/>
        <v xml:space="preserve"> </v>
      </c>
      <c r="R21" s="266" t="str">
        <f t="shared" si="9"/>
        <v xml:space="preserve"> </v>
      </c>
      <c r="S21" s="266"/>
      <c r="T21" s="266"/>
      <c r="U21" s="266" t="str">
        <f t="shared" si="1"/>
        <v xml:space="preserve"> </v>
      </c>
      <c r="V21" s="266"/>
      <c r="W21" s="266"/>
      <c r="X21" s="266"/>
      <c r="Y21" s="266"/>
      <c r="Z21" s="266" t="str">
        <f t="shared" si="7"/>
        <v xml:space="preserve"> </v>
      </c>
      <c r="AA21" s="266"/>
      <c r="AB21" s="266"/>
      <c r="AC21" s="266"/>
      <c r="AD21" s="266"/>
      <c r="AE21" s="266"/>
      <c r="AF21" s="266"/>
      <c r="AG21" s="289"/>
      <c r="AH21" s="266"/>
      <c r="AI21" s="266"/>
      <c r="AJ21" s="266"/>
      <c r="AK21" s="266"/>
      <c r="AL21" s="266"/>
      <c r="AM21" s="266"/>
      <c r="AN21" s="266"/>
      <c r="AO21" s="266"/>
      <c r="AP21" s="266"/>
      <c r="AQ21" s="266"/>
      <c r="AR21" s="278" t="str">
        <f t="shared" si="8"/>
        <v xml:space="preserve"> </v>
      </c>
      <c r="AS21" s="266"/>
      <c r="AT21" s="276">
        <f t="shared" si="3"/>
        <v>0</v>
      </c>
    </row>
    <row r="22" spans="1:46">
      <c r="A22" s="258">
        <v>45280</v>
      </c>
      <c r="B22" s="257">
        <v>0.77569444444444446</v>
      </c>
      <c r="C22" s="255" t="s">
        <v>261</v>
      </c>
      <c r="E22" s="255" t="s">
        <v>262</v>
      </c>
      <c r="F22" s="256">
        <v>100</v>
      </c>
      <c r="G22" s="256">
        <v>2900.96</v>
      </c>
      <c r="H22" s="267">
        <f t="shared" si="4"/>
        <v>0</v>
      </c>
      <c r="I22" s="278"/>
      <c r="J22" s="266"/>
      <c r="K22" s="266"/>
      <c r="L22" s="266"/>
      <c r="M22" s="266">
        <f t="shared" si="11"/>
        <v>100</v>
      </c>
      <c r="N22" s="266"/>
      <c r="O22" s="278"/>
      <c r="P22" s="268" t="str">
        <f t="shared" si="6"/>
        <v xml:space="preserve"> </v>
      </c>
      <c r="Q22" s="266" t="str">
        <f t="shared" si="10"/>
        <v xml:space="preserve"> </v>
      </c>
      <c r="R22" s="266" t="str">
        <f t="shared" si="9"/>
        <v xml:space="preserve"> </v>
      </c>
      <c r="S22" s="266"/>
      <c r="T22" s="266"/>
      <c r="U22" s="266" t="str">
        <f t="shared" si="1"/>
        <v xml:space="preserve"> </v>
      </c>
      <c r="V22" s="266"/>
      <c r="W22" s="266"/>
      <c r="X22" s="266"/>
      <c r="Y22" s="266"/>
      <c r="Z22" s="266" t="str">
        <f t="shared" si="7"/>
        <v xml:space="preserve"> </v>
      </c>
      <c r="AA22" s="266"/>
      <c r="AB22" s="266"/>
      <c r="AC22" s="266"/>
      <c r="AD22" s="266"/>
      <c r="AE22" s="266"/>
      <c r="AF22" s="266"/>
      <c r="AG22" s="289"/>
      <c r="AH22" s="266"/>
      <c r="AI22" s="266"/>
      <c r="AJ22" s="266"/>
      <c r="AK22" s="266"/>
      <c r="AL22" s="266"/>
      <c r="AM22" s="266"/>
      <c r="AN22" s="266"/>
      <c r="AO22" s="266"/>
      <c r="AP22" s="266"/>
      <c r="AQ22" s="266"/>
      <c r="AR22" s="278" t="str">
        <f t="shared" si="8"/>
        <v xml:space="preserve"> </v>
      </c>
      <c r="AS22" s="266"/>
      <c r="AT22" s="276">
        <f t="shared" si="3"/>
        <v>0</v>
      </c>
    </row>
    <row r="23" spans="1:46">
      <c r="A23" s="258">
        <v>45280</v>
      </c>
      <c r="B23" s="257">
        <v>0.77569444444444446</v>
      </c>
      <c r="C23" s="255" t="s">
        <v>263</v>
      </c>
      <c r="E23" s="255" t="s">
        <v>256</v>
      </c>
      <c r="F23" s="256">
        <v>100</v>
      </c>
      <c r="G23" s="256">
        <v>3000.96</v>
      </c>
      <c r="H23" s="267">
        <f t="shared" si="4"/>
        <v>0</v>
      </c>
      <c r="I23" s="278"/>
      <c r="J23" s="266"/>
      <c r="K23" s="266"/>
      <c r="L23" s="266"/>
      <c r="M23" s="266">
        <f t="shared" si="11"/>
        <v>100</v>
      </c>
      <c r="N23" s="266"/>
      <c r="O23" s="278"/>
      <c r="P23" s="268" t="str">
        <f t="shared" si="6"/>
        <v xml:space="preserve"> </v>
      </c>
      <c r="Q23" s="266" t="str">
        <f t="shared" si="10"/>
        <v xml:space="preserve"> </v>
      </c>
      <c r="R23" s="266" t="str">
        <f t="shared" si="9"/>
        <v xml:space="preserve"> </v>
      </c>
      <c r="S23" s="266"/>
      <c r="T23" s="266"/>
      <c r="U23" s="266" t="str">
        <f t="shared" si="1"/>
        <v xml:space="preserve"> </v>
      </c>
      <c r="V23" s="266"/>
      <c r="W23" s="266"/>
      <c r="X23" s="266"/>
      <c r="Y23" s="266"/>
      <c r="Z23" s="266" t="str">
        <f t="shared" si="7"/>
        <v xml:space="preserve"> </v>
      </c>
      <c r="AA23" s="266"/>
      <c r="AB23" s="266"/>
      <c r="AC23" s="266"/>
      <c r="AD23" s="266"/>
      <c r="AE23" s="266"/>
      <c r="AF23" s="266"/>
      <c r="AG23" s="289"/>
      <c r="AH23" s="266"/>
      <c r="AI23" s="266"/>
      <c r="AJ23" s="266"/>
      <c r="AK23" s="266"/>
      <c r="AL23" s="266"/>
      <c r="AM23" s="266"/>
      <c r="AN23" s="266"/>
      <c r="AO23" s="266"/>
      <c r="AP23" s="266"/>
      <c r="AQ23" s="266"/>
      <c r="AR23" s="278" t="str">
        <f t="shared" si="8"/>
        <v xml:space="preserve"> </v>
      </c>
      <c r="AS23" s="266"/>
      <c r="AT23" s="276">
        <f t="shared" si="3"/>
        <v>0</v>
      </c>
    </row>
    <row r="24" spans="1:46">
      <c r="A24" s="258">
        <v>45280</v>
      </c>
      <c r="B24" s="257">
        <v>0.77569444444444446</v>
      </c>
      <c r="C24" s="255" t="s">
        <v>264</v>
      </c>
      <c r="E24" s="255" t="s">
        <v>265</v>
      </c>
      <c r="F24" s="256">
        <v>100</v>
      </c>
      <c r="G24" s="256">
        <v>3100.96</v>
      </c>
      <c r="H24" s="267">
        <f t="shared" si="4"/>
        <v>0</v>
      </c>
      <c r="I24" s="278"/>
      <c r="J24" s="266"/>
      <c r="K24" s="266"/>
      <c r="L24" s="266"/>
      <c r="M24" s="266">
        <f t="shared" si="11"/>
        <v>100</v>
      </c>
      <c r="N24" s="266"/>
      <c r="O24" s="278"/>
      <c r="P24" s="268" t="str">
        <f t="shared" si="6"/>
        <v xml:space="preserve"> </v>
      </c>
      <c r="Q24" s="266" t="str">
        <f t="shared" si="10"/>
        <v xml:space="preserve"> </v>
      </c>
      <c r="R24" s="266" t="str">
        <f t="shared" si="9"/>
        <v xml:space="preserve"> </v>
      </c>
      <c r="S24" s="266"/>
      <c r="T24" s="266"/>
      <c r="U24" s="266" t="str">
        <f t="shared" si="1"/>
        <v xml:space="preserve"> </v>
      </c>
      <c r="V24" s="266"/>
      <c r="W24" s="266"/>
      <c r="X24" s="266"/>
      <c r="Y24" s="266"/>
      <c r="Z24" s="266" t="str">
        <f t="shared" si="7"/>
        <v xml:space="preserve"> </v>
      </c>
      <c r="AA24" s="266"/>
      <c r="AB24" s="266"/>
      <c r="AC24" s="266"/>
      <c r="AD24" s="266"/>
      <c r="AE24" s="266"/>
      <c r="AF24" s="266"/>
      <c r="AG24" s="289"/>
      <c r="AH24" s="266"/>
      <c r="AI24" s="266"/>
      <c r="AJ24" s="266"/>
      <c r="AK24" s="266"/>
      <c r="AL24" s="266"/>
      <c r="AM24" s="266"/>
      <c r="AN24" s="266"/>
      <c r="AO24" s="266"/>
      <c r="AP24" s="266"/>
      <c r="AQ24" s="266"/>
      <c r="AR24" s="278" t="str">
        <f t="shared" si="8"/>
        <v xml:space="preserve"> </v>
      </c>
      <c r="AS24" s="266"/>
      <c r="AT24" s="276">
        <f t="shared" si="3"/>
        <v>0</v>
      </c>
    </row>
    <row r="25" spans="1:46">
      <c r="A25" s="258">
        <v>45280</v>
      </c>
      <c r="B25" s="257">
        <v>0.77569444444444446</v>
      </c>
      <c r="C25" s="255" t="s">
        <v>266</v>
      </c>
      <c r="E25" s="255" t="s">
        <v>267</v>
      </c>
      <c r="F25" s="256">
        <v>100</v>
      </c>
      <c r="G25" s="256">
        <v>3200.96</v>
      </c>
      <c r="H25" s="267">
        <f t="shared" si="4"/>
        <v>0</v>
      </c>
      <c r="I25" s="278"/>
      <c r="J25" s="266"/>
      <c r="K25" s="266"/>
      <c r="L25" s="266"/>
      <c r="M25" s="266">
        <f t="shared" si="11"/>
        <v>100</v>
      </c>
      <c r="N25" s="266"/>
      <c r="O25" s="278"/>
      <c r="P25" s="268" t="str">
        <f t="shared" si="6"/>
        <v xml:space="preserve"> </v>
      </c>
      <c r="Q25" s="266" t="str">
        <f t="shared" si="10"/>
        <v xml:space="preserve"> </v>
      </c>
      <c r="R25" s="266" t="str">
        <f t="shared" si="9"/>
        <v xml:space="preserve"> </v>
      </c>
      <c r="S25" s="266"/>
      <c r="T25" s="266"/>
      <c r="U25" s="266" t="str">
        <f t="shared" si="1"/>
        <v xml:space="preserve"> </v>
      </c>
      <c r="V25" s="266"/>
      <c r="W25" s="266"/>
      <c r="X25" s="266"/>
      <c r="Y25" s="266"/>
      <c r="Z25" s="266" t="str">
        <f t="shared" si="7"/>
        <v xml:space="preserve"> </v>
      </c>
      <c r="AA25" s="266"/>
      <c r="AB25" s="266"/>
      <c r="AC25" s="266"/>
      <c r="AD25" s="266"/>
      <c r="AE25" s="266"/>
      <c r="AF25" s="266"/>
      <c r="AG25" s="289"/>
      <c r="AH25" s="266"/>
      <c r="AI25" s="266"/>
      <c r="AJ25" s="266"/>
      <c r="AK25" s="266"/>
      <c r="AL25" s="266"/>
      <c r="AM25" s="266"/>
      <c r="AN25" s="266"/>
      <c r="AO25" s="266"/>
      <c r="AP25" s="266"/>
      <c r="AQ25" s="266"/>
      <c r="AR25" s="278" t="str">
        <f t="shared" si="8"/>
        <v xml:space="preserve"> </v>
      </c>
      <c r="AS25" s="266"/>
      <c r="AT25" s="276">
        <f t="shared" si="3"/>
        <v>0</v>
      </c>
    </row>
    <row r="26" spans="1:46">
      <c r="A26" s="258">
        <v>45281</v>
      </c>
      <c r="B26" s="257">
        <v>0.13958333333333334</v>
      </c>
      <c r="C26" s="255" t="s">
        <v>268</v>
      </c>
      <c r="E26" s="255" t="s">
        <v>256</v>
      </c>
      <c r="F26" s="256">
        <v>500</v>
      </c>
      <c r="G26" s="256">
        <v>3700.96</v>
      </c>
      <c r="H26" s="267">
        <f t="shared" si="4"/>
        <v>0</v>
      </c>
      <c r="I26" s="278"/>
      <c r="J26" s="266"/>
      <c r="K26" s="266"/>
      <c r="L26" s="266"/>
      <c r="M26" s="266">
        <f t="shared" si="11"/>
        <v>500</v>
      </c>
      <c r="N26" s="266"/>
      <c r="O26" s="278"/>
      <c r="P26" s="268" t="str">
        <f t="shared" si="6"/>
        <v xml:space="preserve"> </v>
      </c>
      <c r="Q26" s="266" t="str">
        <f t="shared" si="10"/>
        <v xml:space="preserve"> </v>
      </c>
      <c r="R26" s="266" t="str">
        <f t="shared" si="9"/>
        <v xml:space="preserve"> </v>
      </c>
      <c r="S26" s="266"/>
      <c r="T26" s="266"/>
      <c r="U26" s="266" t="str">
        <f t="shared" si="1"/>
        <v xml:space="preserve"> </v>
      </c>
      <c r="V26" s="266"/>
      <c r="W26" s="266"/>
      <c r="X26" s="266"/>
      <c r="Y26" s="266"/>
      <c r="Z26" s="266" t="str">
        <f t="shared" si="7"/>
        <v xml:space="preserve"> </v>
      </c>
      <c r="AA26" s="266"/>
      <c r="AB26" s="266"/>
      <c r="AC26" s="266"/>
      <c r="AD26" s="266"/>
      <c r="AE26" s="266"/>
      <c r="AF26" s="266"/>
      <c r="AG26" s="289"/>
      <c r="AH26" s="266"/>
      <c r="AI26" s="266"/>
      <c r="AJ26" s="266"/>
      <c r="AK26" s="266"/>
      <c r="AL26" s="266"/>
      <c r="AM26" s="266"/>
      <c r="AN26" s="266"/>
      <c r="AO26" s="266"/>
      <c r="AP26" s="266"/>
      <c r="AQ26" s="266"/>
      <c r="AR26" s="278" t="str">
        <f t="shared" si="8"/>
        <v xml:space="preserve"> </v>
      </c>
      <c r="AS26" s="266"/>
      <c r="AT26" s="276">
        <f t="shared" si="3"/>
        <v>0</v>
      </c>
    </row>
    <row r="27" spans="1:46">
      <c r="A27" s="258">
        <v>45281</v>
      </c>
      <c r="B27" s="257">
        <v>0.13958333333333334</v>
      </c>
      <c r="C27" s="255" t="s">
        <v>269</v>
      </c>
      <c r="E27" s="255" t="s">
        <v>256</v>
      </c>
      <c r="F27" s="256">
        <v>100</v>
      </c>
      <c r="G27" s="256">
        <v>3800.96</v>
      </c>
      <c r="H27" s="267">
        <f t="shared" si="4"/>
        <v>0</v>
      </c>
      <c r="I27" s="278"/>
      <c r="J27" s="266"/>
      <c r="K27" s="266"/>
      <c r="L27" s="266"/>
      <c r="M27" s="266">
        <f t="shared" si="11"/>
        <v>100</v>
      </c>
      <c r="N27" s="266"/>
      <c r="O27" s="278"/>
      <c r="P27" s="268" t="str">
        <f t="shared" si="6"/>
        <v xml:space="preserve"> </v>
      </c>
      <c r="Q27" s="266" t="str">
        <f t="shared" si="10"/>
        <v xml:space="preserve"> </v>
      </c>
      <c r="R27" s="266" t="str">
        <f t="shared" si="9"/>
        <v xml:space="preserve"> </v>
      </c>
      <c r="S27" s="266"/>
      <c r="T27" s="266"/>
      <c r="U27" s="266" t="str">
        <f t="shared" si="1"/>
        <v xml:space="preserve"> </v>
      </c>
      <c r="V27" s="266"/>
      <c r="W27" s="266"/>
      <c r="X27" s="266"/>
      <c r="Y27" s="266"/>
      <c r="Z27" s="266" t="str">
        <f t="shared" si="7"/>
        <v xml:space="preserve"> </v>
      </c>
      <c r="AA27" s="266"/>
      <c r="AB27" s="266"/>
      <c r="AC27" s="266"/>
      <c r="AD27" s="266"/>
      <c r="AE27" s="266"/>
      <c r="AF27" s="266"/>
      <c r="AG27" s="289"/>
      <c r="AH27" s="266"/>
      <c r="AI27" s="266"/>
      <c r="AJ27" s="266"/>
      <c r="AK27" s="266"/>
      <c r="AL27" s="266"/>
      <c r="AM27" s="266"/>
      <c r="AN27" s="266"/>
      <c r="AO27" s="266"/>
      <c r="AP27" s="266"/>
      <c r="AQ27" s="266"/>
      <c r="AR27" s="278" t="str">
        <f t="shared" si="8"/>
        <v xml:space="preserve"> </v>
      </c>
      <c r="AS27" s="266"/>
      <c r="AT27" s="276">
        <f t="shared" si="3"/>
        <v>0</v>
      </c>
    </row>
    <row r="28" spans="1:46">
      <c r="A28" s="258">
        <v>45281</v>
      </c>
      <c r="B28" s="257">
        <v>0.13958333333333334</v>
      </c>
      <c r="C28" s="255" t="s">
        <v>270</v>
      </c>
      <c r="E28" s="255" t="s">
        <v>258</v>
      </c>
      <c r="F28" s="256">
        <v>100</v>
      </c>
      <c r="G28" s="256">
        <v>3900.96</v>
      </c>
      <c r="H28" s="267">
        <f t="shared" si="4"/>
        <v>0</v>
      </c>
      <c r="I28" s="278"/>
      <c r="J28" s="266"/>
      <c r="K28" s="266"/>
      <c r="L28" s="266"/>
      <c r="M28" s="266">
        <f t="shared" si="11"/>
        <v>100</v>
      </c>
      <c r="N28" s="266"/>
      <c r="O28" s="278"/>
      <c r="P28" s="268" t="str">
        <f t="shared" si="6"/>
        <v xml:space="preserve"> </v>
      </c>
      <c r="Q28" s="266" t="str">
        <f t="shared" si="10"/>
        <v xml:space="preserve"> </v>
      </c>
      <c r="R28" s="266" t="str">
        <f t="shared" si="9"/>
        <v xml:space="preserve"> </v>
      </c>
      <c r="S28" s="266"/>
      <c r="T28" s="266"/>
      <c r="U28" s="266" t="str">
        <f t="shared" si="1"/>
        <v xml:space="preserve"> </v>
      </c>
      <c r="V28" s="266"/>
      <c r="W28" s="266"/>
      <c r="X28" s="266"/>
      <c r="Y28" s="266"/>
      <c r="Z28" s="266" t="str">
        <f t="shared" si="7"/>
        <v xml:space="preserve"> </v>
      </c>
      <c r="AA28" s="266"/>
      <c r="AB28" s="266"/>
      <c r="AC28" s="266"/>
      <c r="AD28" s="266"/>
      <c r="AE28" s="266"/>
      <c r="AF28" s="266"/>
      <c r="AG28" s="289"/>
      <c r="AH28" s="266"/>
      <c r="AI28" s="266"/>
      <c r="AJ28" s="266"/>
      <c r="AK28" s="266"/>
      <c r="AL28" s="266"/>
      <c r="AM28" s="266"/>
      <c r="AN28" s="266"/>
      <c r="AO28" s="266"/>
      <c r="AP28" s="266"/>
      <c r="AQ28" s="266"/>
      <c r="AR28" s="278" t="str">
        <f t="shared" si="8"/>
        <v xml:space="preserve"> </v>
      </c>
      <c r="AS28" s="266"/>
      <c r="AT28" s="276">
        <f t="shared" si="3"/>
        <v>0</v>
      </c>
    </row>
    <row r="29" spans="1:46">
      <c r="A29" s="258">
        <v>45281</v>
      </c>
      <c r="B29" s="257">
        <v>0.13958333333333334</v>
      </c>
      <c r="C29" s="255" t="s">
        <v>271</v>
      </c>
      <c r="E29" s="255" t="s">
        <v>256</v>
      </c>
      <c r="F29" s="256">
        <v>100</v>
      </c>
      <c r="G29" s="256">
        <v>4000.96</v>
      </c>
      <c r="H29" s="267">
        <f t="shared" si="4"/>
        <v>0</v>
      </c>
      <c r="I29" s="278"/>
      <c r="J29" s="266"/>
      <c r="K29" s="266"/>
      <c r="L29" s="266"/>
      <c r="M29" s="266">
        <f t="shared" si="11"/>
        <v>100</v>
      </c>
      <c r="N29" s="266"/>
      <c r="O29" s="278"/>
      <c r="P29" s="268" t="str">
        <f t="shared" si="6"/>
        <v xml:space="preserve"> </v>
      </c>
      <c r="Q29" s="266" t="str">
        <f t="shared" si="10"/>
        <v xml:space="preserve"> </v>
      </c>
      <c r="R29" s="266" t="str">
        <f t="shared" si="9"/>
        <v xml:space="preserve"> </v>
      </c>
      <c r="S29" s="266"/>
      <c r="T29" s="266"/>
      <c r="U29" s="266" t="str">
        <f t="shared" si="1"/>
        <v xml:space="preserve"> </v>
      </c>
      <c r="V29" s="266"/>
      <c r="W29" s="266"/>
      <c r="X29" s="266"/>
      <c r="Y29" s="266"/>
      <c r="Z29" s="266" t="str">
        <f t="shared" si="7"/>
        <v xml:space="preserve"> </v>
      </c>
      <c r="AA29" s="266"/>
      <c r="AB29" s="266"/>
      <c r="AC29" s="266"/>
      <c r="AD29" s="266"/>
      <c r="AE29" s="266"/>
      <c r="AF29" s="266"/>
      <c r="AG29" s="289"/>
      <c r="AH29" s="266"/>
      <c r="AI29" s="266"/>
      <c r="AJ29" s="266"/>
      <c r="AK29" s="266"/>
      <c r="AL29" s="266"/>
      <c r="AM29" s="266"/>
      <c r="AN29" s="266"/>
      <c r="AO29" s="266"/>
      <c r="AP29" s="266"/>
      <c r="AQ29" s="266"/>
      <c r="AR29" s="278" t="str">
        <f t="shared" si="8"/>
        <v xml:space="preserve"> </v>
      </c>
      <c r="AS29" s="266"/>
      <c r="AT29" s="276">
        <f t="shared" si="3"/>
        <v>0</v>
      </c>
    </row>
    <row r="30" spans="1:46">
      <c r="A30" s="258">
        <v>45281</v>
      </c>
      <c r="B30" s="257">
        <v>0.13958333333333334</v>
      </c>
      <c r="C30" s="255" t="s">
        <v>272</v>
      </c>
      <c r="E30" s="255" t="s">
        <v>256</v>
      </c>
      <c r="F30" s="256">
        <v>100</v>
      </c>
      <c r="G30" s="256">
        <v>4100.96</v>
      </c>
      <c r="H30" s="267">
        <f t="shared" si="4"/>
        <v>0</v>
      </c>
      <c r="I30" s="278"/>
      <c r="J30" s="266"/>
      <c r="K30" s="266"/>
      <c r="L30" s="266"/>
      <c r="M30" s="266">
        <f t="shared" si="11"/>
        <v>100</v>
      </c>
      <c r="N30" s="266"/>
      <c r="O30" s="278"/>
      <c r="P30" s="268" t="str">
        <f t="shared" si="6"/>
        <v xml:space="preserve"> </v>
      </c>
      <c r="Q30" s="266" t="str">
        <f t="shared" si="10"/>
        <v xml:space="preserve"> </v>
      </c>
      <c r="R30" s="266" t="str">
        <f t="shared" si="9"/>
        <v xml:space="preserve"> </v>
      </c>
      <c r="S30" s="266"/>
      <c r="T30" s="266"/>
      <c r="U30" s="266" t="str">
        <f t="shared" si="1"/>
        <v xml:space="preserve"> </v>
      </c>
      <c r="V30" s="266"/>
      <c r="W30" s="266"/>
      <c r="X30" s="266"/>
      <c r="Y30" s="266"/>
      <c r="Z30" s="266" t="str">
        <f t="shared" si="7"/>
        <v xml:space="preserve"> </v>
      </c>
      <c r="AA30" s="266"/>
      <c r="AB30" s="266"/>
      <c r="AC30" s="266"/>
      <c r="AD30" s="266"/>
      <c r="AE30" s="266"/>
      <c r="AF30" s="266"/>
      <c r="AG30" s="289"/>
      <c r="AH30" s="266"/>
      <c r="AI30" s="266"/>
      <c r="AJ30" s="266"/>
      <c r="AK30" s="266"/>
      <c r="AL30" s="266"/>
      <c r="AM30" s="266"/>
      <c r="AN30" s="266"/>
      <c r="AO30" s="266"/>
      <c r="AP30" s="266"/>
      <c r="AQ30" s="266"/>
      <c r="AR30" s="278" t="str">
        <f t="shared" si="8"/>
        <v xml:space="preserve"> </v>
      </c>
      <c r="AS30" s="266"/>
      <c r="AT30" s="276">
        <f t="shared" si="3"/>
        <v>0</v>
      </c>
    </row>
    <row r="31" spans="1:46">
      <c r="A31" s="258">
        <v>45281</v>
      </c>
      <c r="B31" s="257">
        <v>0.13958333333333334</v>
      </c>
      <c r="C31" s="255" t="s">
        <v>273</v>
      </c>
      <c r="E31" s="255" t="s">
        <v>258</v>
      </c>
      <c r="F31" s="256">
        <v>100</v>
      </c>
      <c r="G31" s="256">
        <v>4200.96</v>
      </c>
      <c r="H31" s="267">
        <f t="shared" si="4"/>
        <v>0</v>
      </c>
      <c r="I31" s="278"/>
      <c r="J31" s="266"/>
      <c r="K31" s="266"/>
      <c r="L31" s="266"/>
      <c r="M31" s="266">
        <f t="shared" si="11"/>
        <v>100</v>
      </c>
      <c r="N31" s="266"/>
      <c r="O31" s="278"/>
      <c r="P31" s="268" t="str">
        <f t="shared" si="6"/>
        <v xml:space="preserve"> </v>
      </c>
      <c r="Q31" s="266" t="str">
        <f t="shared" si="10"/>
        <v xml:space="preserve"> </v>
      </c>
      <c r="R31" s="266" t="str">
        <f t="shared" si="9"/>
        <v xml:space="preserve"> </v>
      </c>
      <c r="S31" s="266"/>
      <c r="T31" s="266"/>
      <c r="U31" s="266" t="str">
        <f t="shared" si="1"/>
        <v xml:space="preserve"> </v>
      </c>
      <c r="V31" s="266"/>
      <c r="W31" s="266"/>
      <c r="X31" s="266"/>
      <c r="Y31" s="266"/>
      <c r="Z31" s="266" t="str">
        <f t="shared" si="7"/>
        <v xml:space="preserve"> </v>
      </c>
      <c r="AA31" s="266"/>
      <c r="AB31" s="266"/>
      <c r="AC31" s="266"/>
      <c r="AD31" s="266"/>
      <c r="AE31" s="266"/>
      <c r="AF31" s="266"/>
      <c r="AG31" s="289"/>
      <c r="AH31" s="266"/>
      <c r="AI31" s="266"/>
      <c r="AJ31" s="266"/>
      <c r="AK31" s="266"/>
      <c r="AL31" s="266"/>
      <c r="AM31" s="266"/>
      <c r="AN31" s="266"/>
      <c r="AO31" s="266"/>
      <c r="AP31" s="266"/>
      <c r="AQ31" s="266"/>
      <c r="AR31" s="278" t="str">
        <f t="shared" si="8"/>
        <v xml:space="preserve"> </v>
      </c>
      <c r="AS31" s="266"/>
      <c r="AT31" s="276">
        <f t="shared" si="3"/>
        <v>0</v>
      </c>
    </row>
    <row r="32" spans="1:46">
      <c r="A32" s="258">
        <v>45281</v>
      </c>
      <c r="B32" s="257">
        <v>0.36875000000000002</v>
      </c>
      <c r="C32" s="255" t="s">
        <v>274</v>
      </c>
      <c r="E32" s="255" t="s">
        <v>267</v>
      </c>
      <c r="F32" s="256">
        <v>100</v>
      </c>
      <c r="G32" s="256">
        <v>4300.96</v>
      </c>
      <c r="H32" s="267">
        <f t="shared" si="4"/>
        <v>0</v>
      </c>
      <c r="I32" s="278"/>
      <c r="J32" s="266"/>
      <c r="K32" s="266"/>
      <c r="L32" s="266"/>
      <c r="M32" s="266">
        <f t="shared" si="11"/>
        <v>100</v>
      </c>
      <c r="N32" s="266"/>
      <c r="O32" s="278"/>
      <c r="P32" s="268" t="str">
        <f t="shared" si="6"/>
        <v xml:space="preserve"> </v>
      </c>
      <c r="Q32" s="266" t="str">
        <f t="shared" si="10"/>
        <v xml:space="preserve"> </v>
      </c>
      <c r="R32" s="266" t="str">
        <f t="shared" si="9"/>
        <v xml:space="preserve"> </v>
      </c>
      <c r="S32" s="266"/>
      <c r="T32" s="266"/>
      <c r="U32" s="266" t="str">
        <f t="shared" si="1"/>
        <v xml:space="preserve"> </v>
      </c>
      <c r="V32" s="266"/>
      <c r="W32" s="266"/>
      <c r="X32" s="266"/>
      <c r="Y32" s="266"/>
      <c r="Z32" s="266" t="str">
        <f t="shared" si="7"/>
        <v xml:space="preserve"> </v>
      </c>
      <c r="AA32" s="266"/>
      <c r="AB32" s="266"/>
      <c r="AC32" s="266"/>
      <c r="AD32" s="266"/>
      <c r="AE32" s="266"/>
      <c r="AF32" s="266"/>
      <c r="AG32" s="289"/>
      <c r="AH32" s="266"/>
      <c r="AI32" s="266"/>
      <c r="AJ32" s="266"/>
      <c r="AK32" s="266"/>
      <c r="AL32" s="266"/>
      <c r="AM32" s="266"/>
      <c r="AN32" s="266"/>
      <c r="AO32" s="266"/>
      <c r="AP32" s="266"/>
      <c r="AQ32" s="266"/>
      <c r="AR32" s="278" t="str">
        <f t="shared" si="8"/>
        <v xml:space="preserve"> </v>
      </c>
      <c r="AS32" s="266"/>
      <c r="AT32" s="276">
        <f t="shared" si="3"/>
        <v>0</v>
      </c>
    </row>
    <row r="33" spans="1:46">
      <c r="A33" s="258">
        <v>45281</v>
      </c>
      <c r="B33" s="257">
        <v>0.36875000000000002</v>
      </c>
      <c r="C33" s="255" t="s">
        <v>275</v>
      </c>
      <c r="E33" s="255" t="s">
        <v>276</v>
      </c>
      <c r="F33" s="256">
        <v>75</v>
      </c>
      <c r="G33" s="256">
        <v>4375.96</v>
      </c>
      <c r="H33" s="267">
        <f t="shared" si="4"/>
        <v>0</v>
      </c>
      <c r="I33" s="278"/>
      <c r="J33" s="266"/>
      <c r="K33" s="266"/>
      <c r="L33" s="266"/>
      <c r="M33" s="266">
        <f t="shared" si="11"/>
        <v>75</v>
      </c>
      <c r="N33" s="266"/>
      <c r="O33" s="278"/>
      <c r="P33" s="268" t="str">
        <f t="shared" si="6"/>
        <v xml:space="preserve"> </v>
      </c>
      <c r="Q33" s="266" t="str">
        <f t="shared" si="10"/>
        <v xml:space="preserve"> </v>
      </c>
      <c r="R33" s="266" t="str">
        <f t="shared" si="9"/>
        <v xml:space="preserve"> </v>
      </c>
      <c r="S33" s="266"/>
      <c r="T33" s="266"/>
      <c r="U33" s="266" t="str">
        <f t="shared" si="1"/>
        <v xml:space="preserve"> </v>
      </c>
      <c r="V33" s="266"/>
      <c r="W33" s="266"/>
      <c r="X33" s="266"/>
      <c r="Y33" s="266"/>
      <c r="Z33" s="266" t="str">
        <f t="shared" si="7"/>
        <v xml:space="preserve"> </v>
      </c>
      <c r="AA33" s="266"/>
      <c r="AB33" s="266"/>
      <c r="AC33" s="266"/>
      <c r="AD33" s="266"/>
      <c r="AE33" s="266"/>
      <c r="AF33" s="266"/>
      <c r="AG33" s="289"/>
      <c r="AH33" s="266"/>
      <c r="AI33" s="266"/>
      <c r="AJ33" s="266"/>
      <c r="AK33" s="266"/>
      <c r="AL33" s="266"/>
      <c r="AM33" s="266"/>
      <c r="AN33" s="266"/>
      <c r="AO33" s="266"/>
      <c r="AP33" s="266"/>
      <c r="AQ33" s="266"/>
      <c r="AR33" s="278" t="str">
        <f t="shared" si="8"/>
        <v xml:space="preserve"> </v>
      </c>
      <c r="AS33" s="266"/>
      <c r="AT33" s="276">
        <f t="shared" si="3"/>
        <v>0</v>
      </c>
    </row>
    <row r="34" spans="1:46">
      <c r="A34" s="258">
        <v>45281</v>
      </c>
      <c r="B34" s="257">
        <v>0.36875000000000002</v>
      </c>
      <c r="C34" s="255" t="s">
        <v>277</v>
      </c>
      <c r="E34" s="255" t="s">
        <v>256</v>
      </c>
      <c r="F34" s="256">
        <v>100</v>
      </c>
      <c r="G34" s="256">
        <v>4475.96</v>
      </c>
      <c r="H34" s="267">
        <f t="shared" si="4"/>
        <v>0</v>
      </c>
      <c r="I34" s="278"/>
      <c r="J34" s="266"/>
      <c r="K34" s="266"/>
      <c r="L34" s="266"/>
      <c r="M34" s="266">
        <f t="shared" si="11"/>
        <v>100</v>
      </c>
      <c r="N34" s="266"/>
      <c r="O34" s="278"/>
      <c r="P34" s="268" t="str">
        <f t="shared" si="6"/>
        <v xml:space="preserve"> </v>
      </c>
      <c r="Q34" s="266" t="str">
        <f t="shared" si="10"/>
        <v xml:space="preserve"> </v>
      </c>
      <c r="R34" s="266" t="str">
        <f t="shared" si="9"/>
        <v xml:space="preserve"> </v>
      </c>
      <c r="S34" s="266"/>
      <c r="T34" s="266"/>
      <c r="U34" s="266" t="str">
        <f t="shared" si="1"/>
        <v xml:space="preserve"> </v>
      </c>
      <c r="V34" s="266"/>
      <c r="W34" s="266"/>
      <c r="X34" s="266"/>
      <c r="Y34" s="266"/>
      <c r="Z34" s="266" t="str">
        <f t="shared" si="7"/>
        <v xml:space="preserve"> </v>
      </c>
      <c r="AA34" s="266"/>
      <c r="AB34" s="266"/>
      <c r="AC34" s="266"/>
      <c r="AD34" s="266"/>
      <c r="AE34" s="266"/>
      <c r="AF34" s="266"/>
      <c r="AG34" s="289"/>
      <c r="AH34" s="266"/>
      <c r="AI34" s="266"/>
      <c r="AJ34" s="266"/>
      <c r="AK34" s="266"/>
      <c r="AL34" s="266"/>
      <c r="AM34" s="266"/>
      <c r="AN34" s="266"/>
      <c r="AO34" s="266"/>
      <c r="AP34" s="266"/>
      <c r="AQ34" s="266"/>
      <c r="AR34" s="278" t="str">
        <f t="shared" si="8"/>
        <v xml:space="preserve"> </v>
      </c>
      <c r="AS34" s="266"/>
      <c r="AT34" s="276">
        <f t="shared" si="3"/>
        <v>0</v>
      </c>
    </row>
    <row r="35" spans="1:46">
      <c r="A35" s="258">
        <v>45281</v>
      </c>
      <c r="B35" s="257">
        <v>0.36875000000000002</v>
      </c>
      <c r="C35" s="255" t="s">
        <v>278</v>
      </c>
      <c r="E35" s="255" t="s">
        <v>279</v>
      </c>
      <c r="F35" s="256">
        <v>100</v>
      </c>
      <c r="G35" s="256">
        <v>4575.96</v>
      </c>
      <c r="H35" s="267">
        <f t="shared" si="4"/>
        <v>0</v>
      </c>
      <c r="I35" s="278"/>
      <c r="J35" s="266"/>
      <c r="K35" s="266"/>
      <c r="L35" s="266"/>
      <c r="M35" s="266">
        <f t="shared" si="11"/>
        <v>100</v>
      </c>
      <c r="N35" s="266"/>
      <c r="O35" s="278"/>
      <c r="P35" s="268" t="str">
        <f t="shared" si="6"/>
        <v xml:space="preserve"> </v>
      </c>
      <c r="Q35" s="266" t="str">
        <f t="shared" si="10"/>
        <v xml:space="preserve"> </v>
      </c>
      <c r="R35" s="266" t="str">
        <f t="shared" si="9"/>
        <v xml:space="preserve"> </v>
      </c>
      <c r="S35" s="266"/>
      <c r="T35" s="266"/>
      <c r="U35" s="266" t="str">
        <f t="shared" si="1"/>
        <v xml:space="preserve"> </v>
      </c>
      <c r="V35" s="266"/>
      <c r="W35" s="266"/>
      <c r="X35" s="266"/>
      <c r="Y35" s="266"/>
      <c r="Z35" s="266" t="str">
        <f t="shared" si="7"/>
        <v xml:space="preserve"> </v>
      </c>
      <c r="AA35" s="266"/>
      <c r="AB35" s="266"/>
      <c r="AC35" s="266"/>
      <c r="AD35" s="266"/>
      <c r="AE35" s="266"/>
      <c r="AF35" s="266"/>
      <c r="AG35" s="289"/>
      <c r="AH35" s="266"/>
      <c r="AI35" s="266"/>
      <c r="AJ35" s="266"/>
      <c r="AK35" s="266"/>
      <c r="AL35" s="266"/>
      <c r="AM35" s="266"/>
      <c r="AN35" s="266"/>
      <c r="AO35" s="266"/>
      <c r="AP35" s="266"/>
      <c r="AQ35" s="266"/>
      <c r="AR35" s="278" t="str">
        <f t="shared" si="8"/>
        <v xml:space="preserve"> </v>
      </c>
      <c r="AS35" s="266"/>
      <c r="AT35" s="276">
        <f t="shared" si="3"/>
        <v>0</v>
      </c>
    </row>
    <row r="36" spans="1:46">
      <c r="A36" s="258">
        <v>45281</v>
      </c>
      <c r="B36" s="257">
        <v>0.4597222222222222</v>
      </c>
      <c r="C36" s="255" t="s">
        <v>280</v>
      </c>
      <c r="E36" s="255" t="s">
        <v>256</v>
      </c>
      <c r="F36" s="256">
        <v>100</v>
      </c>
      <c r="G36" s="256">
        <v>4675.96</v>
      </c>
      <c r="H36" s="267">
        <f t="shared" si="4"/>
        <v>0</v>
      </c>
      <c r="I36" s="278"/>
      <c r="J36" s="266"/>
      <c r="K36" s="266"/>
      <c r="L36" s="266"/>
      <c r="M36" s="266">
        <f t="shared" si="11"/>
        <v>100</v>
      </c>
      <c r="N36" s="266"/>
      <c r="O36" s="278"/>
      <c r="P36" s="268" t="str">
        <f t="shared" si="6"/>
        <v xml:space="preserve"> </v>
      </c>
      <c r="Q36" s="266" t="str">
        <f t="shared" si="10"/>
        <v xml:space="preserve"> </v>
      </c>
      <c r="R36" s="266" t="str">
        <f t="shared" si="9"/>
        <v xml:space="preserve"> </v>
      </c>
      <c r="S36" s="266"/>
      <c r="T36" s="266"/>
      <c r="U36" s="266" t="str">
        <f t="shared" si="1"/>
        <v xml:space="preserve"> </v>
      </c>
      <c r="V36" s="266"/>
      <c r="W36" s="266"/>
      <c r="X36" s="266"/>
      <c r="Y36" s="266"/>
      <c r="Z36" s="266" t="str">
        <f t="shared" si="7"/>
        <v xml:space="preserve"> </v>
      </c>
      <c r="AA36" s="266"/>
      <c r="AB36" s="266"/>
      <c r="AC36" s="266"/>
      <c r="AD36" s="266"/>
      <c r="AE36" s="266"/>
      <c r="AF36" s="266"/>
      <c r="AG36" s="289"/>
      <c r="AH36" s="266"/>
      <c r="AI36" s="266"/>
      <c r="AJ36" s="266"/>
      <c r="AK36" s="266"/>
      <c r="AL36" s="266"/>
      <c r="AM36" s="266"/>
      <c r="AN36" s="266"/>
      <c r="AO36" s="266"/>
      <c r="AP36" s="266"/>
      <c r="AQ36" s="266"/>
      <c r="AR36" s="278" t="str">
        <f t="shared" si="8"/>
        <v xml:space="preserve"> </v>
      </c>
      <c r="AS36" s="266"/>
      <c r="AT36" s="276">
        <f t="shared" si="3"/>
        <v>0</v>
      </c>
    </row>
    <row r="37" spans="1:46">
      <c r="A37" s="258">
        <v>45281</v>
      </c>
      <c r="B37" s="257">
        <v>0.4597222222222222</v>
      </c>
      <c r="C37" s="255" t="s">
        <v>281</v>
      </c>
      <c r="E37" s="255" t="s">
        <v>282</v>
      </c>
      <c r="F37" s="256">
        <v>100</v>
      </c>
      <c r="G37" s="256">
        <v>4775.96</v>
      </c>
      <c r="H37" s="267">
        <f t="shared" si="4"/>
        <v>0</v>
      </c>
      <c r="I37" s="278"/>
      <c r="J37" s="266"/>
      <c r="K37" s="266"/>
      <c r="L37" s="266"/>
      <c r="M37" s="266">
        <f t="shared" si="11"/>
        <v>100</v>
      </c>
      <c r="N37" s="266"/>
      <c r="O37" s="278"/>
      <c r="P37" s="268" t="str">
        <f t="shared" si="6"/>
        <v xml:space="preserve"> </v>
      </c>
      <c r="Q37" s="266" t="str">
        <f t="shared" si="10"/>
        <v xml:space="preserve"> </v>
      </c>
      <c r="R37" s="266" t="str">
        <f t="shared" si="9"/>
        <v xml:space="preserve"> </v>
      </c>
      <c r="S37" s="266"/>
      <c r="T37" s="266"/>
      <c r="U37" s="266" t="str">
        <f t="shared" si="1"/>
        <v xml:space="preserve"> </v>
      </c>
      <c r="V37" s="266"/>
      <c r="W37" s="266"/>
      <c r="X37" s="266"/>
      <c r="Y37" s="266"/>
      <c r="Z37" s="266" t="str">
        <f t="shared" si="7"/>
        <v xml:space="preserve"> </v>
      </c>
      <c r="AA37" s="266"/>
      <c r="AB37" s="266"/>
      <c r="AC37" s="266"/>
      <c r="AD37" s="266"/>
      <c r="AE37" s="266"/>
      <c r="AF37" s="266"/>
      <c r="AG37" s="289"/>
      <c r="AH37" s="266"/>
      <c r="AI37" s="266"/>
      <c r="AJ37" s="266"/>
      <c r="AK37" s="266"/>
      <c r="AL37" s="266"/>
      <c r="AM37" s="266"/>
      <c r="AN37" s="266"/>
      <c r="AO37" s="266"/>
      <c r="AP37" s="266"/>
      <c r="AQ37" s="266"/>
      <c r="AR37" s="278" t="str">
        <f t="shared" si="8"/>
        <v xml:space="preserve"> </v>
      </c>
      <c r="AS37" s="266"/>
      <c r="AT37" s="276">
        <f t="shared" si="3"/>
        <v>0</v>
      </c>
    </row>
    <row r="38" spans="1:46">
      <c r="A38" s="258">
        <v>45281</v>
      </c>
      <c r="B38" s="257">
        <v>0.55763888888888891</v>
      </c>
      <c r="C38" s="255" t="s">
        <v>283</v>
      </c>
      <c r="E38" s="255" t="s">
        <v>284</v>
      </c>
      <c r="F38" s="256">
        <v>100</v>
      </c>
      <c r="G38" s="256">
        <v>4875.96</v>
      </c>
      <c r="H38" s="267">
        <f t="shared" si="4"/>
        <v>0</v>
      </c>
      <c r="I38" s="278"/>
      <c r="J38" s="266"/>
      <c r="K38" s="266"/>
      <c r="L38" s="266"/>
      <c r="M38" s="266">
        <f t="shared" si="11"/>
        <v>100</v>
      </c>
      <c r="N38" s="266"/>
      <c r="O38" s="278"/>
      <c r="P38" s="268" t="str">
        <f t="shared" si="6"/>
        <v xml:space="preserve"> </v>
      </c>
      <c r="Q38" s="266" t="str">
        <f t="shared" si="10"/>
        <v xml:space="preserve"> </v>
      </c>
      <c r="R38" s="266" t="str">
        <f t="shared" si="9"/>
        <v xml:space="preserve"> </v>
      </c>
      <c r="S38" s="266"/>
      <c r="T38" s="266"/>
      <c r="U38" s="266" t="str">
        <f t="shared" si="1"/>
        <v xml:space="preserve"> </v>
      </c>
      <c r="V38" s="266"/>
      <c r="W38" s="266"/>
      <c r="X38" s="266"/>
      <c r="Y38" s="266"/>
      <c r="Z38" s="266" t="str">
        <f t="shared" si="7"/>
        <v xml:space="preserve"> </v>
      </c>
      <c r="AA38" s="266"/>
      <c r="AB38" s="266"/>
      <c r="AC38" s="266"/>
      <c r="AD38" s="266"/>
      <c r="AE38" s="266"/>
      <c r="AF38" s="266"/>
      <c r="AG38" s="289"/>
      <c r="AH38" s="266"/>
      <c r="AI38" s="266"/>
      <c r="AJ38" s="266"/>
      <c r="AK38" s="266"/>
      <c r="AL38" s="266"/>
      <c r="AM38" s="266"/>
      <c r="AN38" s="266"/>
      <c r="AO38" s="266"/>
      <c r="AP38" s="266"/>
      <c r="AQ38" s="266"/>
      <c r="AR38" s="278" t="str">
        <f t="shared" si="8"/>
        <v xml:space="preserve"> </v>
      </c>
      <c r="AS38" s="266"/>
      <c r="AT38" s="276">
        <f t="shared" ref="AT38:AT69" si="12">SUM(I38:O38,AS38)-SUM(P38:AR38)-F38</f>
        <v>0</v>
      </c>
    </row>
    <row r="39" spans="1:46">
      <c r="A39" s="258">
        <v>45281</v>
      </c>
      <c r="B39" s="257">
        <v>0.59861111111111109</v>
      </c>
      <c r="C39" s="255" t="s">
        <v>285</v>
      </c>
      <c r="E39" s="255" t="s">
        <v>256</v>
      </c>
      <c r="F39" s="256">
        <v>50</v>
      </c>
      <c r="G39" s="256">
        <v>4925.96</v>
      </c>
      <c r="H39" s="267">
        <f t="shared" ref="H39:H70" si="13">G38+F39-G39</f>
        <v>0</v>
      </c>
      <c r="I39" s="278"/>
      <c r="J39" s="266"/>
      <c r="K39" s="266"/>
      <c r="L39" s="266"/>
      <c r="M39" s="266">
        <f t="shared" si="11"/>
        <v>50</v>
      </c>
      <c r="N39" s="266"/>
      <c r="O39" s="278"/>
      <c r="P39" s="268" t="str">
        <f t="shared" ref="P39:P70" si="14">IF((SUM(I39:O39,Q39:AS39))," ",-F39)</f>
        <v xml:space="preserve"> </v>
      </c>
      <c r="Q39" s="266" t="str">
        <f t="shared" si="10"/>
        <v xml:space="preserve"> </v>
      </c>
      <c r="R39" s="266" t="str">
        <f t="shared" si="9"/>
        <v xml:space="preserve"> </v>
      </c>
      <c r="S39" s="266"/>
      <c r="T39" s="266"/>
      <c r="U39" s="266" t="str">
        <f t="shared" si="1"/>
        <v xml:space="preserve"> </v>
      </c>
      <c r="V39" s="266"/>
      <c r="W39" s="266"/>
      <c r="X39" s="266"/>
      <c r="Y39" s="266"/>
      <c r="Z39" s="266" t="str">
        <f t="shared" si="7"/>
        <v xml:space="preserve"> </v>
      </c>
      <c r="AA39" s="266"/>
      <c r="AB39" s="266"/>
      <c r="AC39" s="266"/>
      <c r="AD39" s="266"/>
      <c r="AE39" s="266"/>
      <c r="AF39" s="266"/>
      <c r="AG39" s="289"/>
      <c r="AH39" s="266"/>
      <c r="AI39" s="266"/>
      <c r="AJ39" s="266"/>
      <c r="AK39" s="266"/>
      <c r="AL39" s="266"/>
      <c r="AM39" s="266"/>
      <c r="AN39" s="266"/>
      <c r="AO39" s="266"/>
      <c r="AP39" s="266"/>
      <c r="AQ39" s="266"/>
      <c r="AR39" s="278" t="str">
        <f t="shared" ref="AR39:AR70" si="15">IF(AND(ISNUMBER(FIND("black",LOWER(E39))),F39&lt;0),-F39," ")</f>
        <v xml:space="preserve"> </v>
      </c>
      <c r="AS39" s="266"/>
      <c r="AT39" s="276">
        <f t="shared" si="12"/>
        <v>0</v>
      </c>
    </row>
    <row r="40" spans="1:46">
      <c r="A40" s="258">
        <v>45281</v>
      </c>
      <c r="B40" s="257">
        <v>0.59861111111111109</v>
      </c>
      <c r="C40" s="255" t="s">
        <v>286</v>
      </c>
      <c r="E40" s="255" t="s">
        <v>287</v>
      </c>
      <c r="F40" s="256">
        <v>100</v>
      </c>
      <c r="G40" s="256">
        <v>5025.96</v>
      </c>
      <c r="H40" s="267">
        <f t="shared" si="13"/>
        <v>0</v>
      </c>
      <c r="I40" s="278"/>
      <c r="J40" s="266"/>
      <c r="K40" s="266"/>
      <c r="L40" s="266"/>
      <c r="M40" s="266">
        <f>F40</f>
        <v>100</v>
      </c>
      <c r="N40" s="266"/>
      <c r="O40" s="278"/>
      <c r="P40" s="268" t="str">
        <f t="shared" si="14"/>
        <v xml:space="preserve"> </v>
      </c>
      <c r="Q40" s="266" t="str">
        <f t="shared" si="10"/>
        <v xml:space="preserve"> </v>
      </c>
      <c r="R40" s="266" t="str">
        <f t="shared" si="9"/>
        <v xml:space="preserve"> </v>
      </c>
      <c r="S40" s="266"/>
      <c r="T40" s="266"/>
      <c r="U40" s="266" t="str">
        <f t="shared" si="1"/>
        <v xml:space="preserve"> </v>
      </c>
      <c r="V40" s="266"/>
      <c r="W40" s="266"/>
      <c r="X40" s="266"/>
      <c r="Y40" s="266"/>
      <c r="Z40" s="266" t="str">
        <f t="shared" si="7"/>
        <v xml:space="preserve"> </v>
      </c>
      <c r="AA40" s="266"/>
      <c r="AB40" s="266"/>
      <c r="AC40" s="266"/>
      <c r="AD40" s="266"/>
      <c r="AE40" s="266"/>
      <c r="AF40" s="266"/>
      <c r="AG40" s="289"/>
      <c r="AH40" s="266"/>
      <c r="AI40" s="266"/>
      <c r="AJ40" s="266"/>
      <c r="AK40" s="266"/>
      <c r="AL40" s="266"/>
      <c r="AM40" s="266"/>
      <c r="AN40" s="266"/>
      <c r="AO40" s="266"/>
      <c r="AP40" s="266"/>
      <c r="AQ40" s="266"/>
      <c r="AR40" s="278" t="str">
        <f t="shared" si="15"/>
        <v xml:space="preserve"> </v>
      </c>
      <c r="AS40" s="266"/>
      <c r="AT40" s="276">
        <f t="shared" si="12"/>
        <v>0</v>
      </c>
    </row>
    <row r="41" spans="1:46">
      <c r="A41" s="258">
        <v>45281</v>
      </c>
      <c r="B41" s="257">
        <v>0.59861111111111109</v>
      </c>
      <c r="C41" s="255" t="s">
        <v>288</v>
      </c>
      <c r="E41" s="255" t="s">
        <v>289</v>
      </c>
      <c r="F41" s="256">
        <v>100</v>
      </c>
      <c r="G41" s="256">
        <v>5125.96</v>
      </c>
      <c r="H41" s="267">
        <f t="shared" si="13"/>
        <v>0</v>
      </c>
      <c r="I41" s="278"/>
      <c r="J41" s="266"/>
      <c r="K41" s="266"/>
      <c r="L41" s="266"/>
      <c r="M41" s="266">
        <f>F41</f>
        <v>100</v>
      </c>
      <c r="N41" s="266"/>
      <c r="O41" s="278"/>
      <c r="P41" s="268" t="str">
        <f t="shared" si="14"/>
        <v xml:space="preserve"> </v>
      </c>
      <c r="Q41" s="266" t="str">
        <f t="shared" si="10"/>
        <v xml:space="preserve"> </v>
      </c>
      <c r="R41" s="266" t="str">
        <f t="shared" si="9"/>
        <v xml:space="preserve"> </v>
      </c>
      <c r="S41" s="266"/>
      <c r="T41" s="266"/>
      <c r="U41" s="266" t="str">
        <f t="shared" si="1"/>
        <v xml:space="preserve"> </v>
      </c>
      <c r="V41" s="266"/>
      <c r="W41" s="266"/>
      <c r="X41" s="266"/>
      <c r="Y41" s="266"/>
      <c r="Z41" s="266" t="str">
        <f t="shared" si="7"/>
        <v xml:space="preserve"> </v>
      </c>
      <c r="AA41" s="266"/>
      <c r="AB41" s="266"/>
      <c r="AC41" s="266"/>
      <c r="AD41" s="266"/>
      <c r="AE41" s="266"/>
      <c r="AF41" s="266"/>
      <c r="AG41" s="289"/>
      <c r="AH41" s="266"/>
      <c r="AI41" s="266"/>
      <c r="AJ41" s="266"/>
      <c r="AK41" s="266"/>
      <c r="AL41" s="266"/>
      <c r="AM41" s="266"/>
      <c r="AN41" s="266"/>
      <c r="AO41" s="266"/>
      <c r="AP41" s="266"/>
      <c r="AQ41" s="266"/>
      <c r="AR41" s="278" t="str">
        <f t="shared" si="15"/>
        <v xml:space="preserve"> </v>
      </c>
      <c r="AS41" s="266"/>
      <c r="AT41" s="276">
        <f t="shared" si="12"/>
        <v>0</v>
      </c>
    </row>
    <row r="42" spans="1:46">
      <c r="A42" s="258">
        <v>45281</v>
      </c>
      <c r="B42" s="257">
        <v>0.59861111111111109</v>
      </c>
      <c r="C42" s="255" t="s">
        <v>255</v>
      </c>
      <c r="E42" s="255" t="s">
        <v>256</v>
      </c>
      <c r="F42" s="256">
        <v>50</v>
      </c>
      <c r="G42" s="256">
        <v>5175.96</v>
      </c>
      <c r="H42" s="267">
        <f t="shared" si="13"/>
        <v>0</v>
      </c>
      <c r="I42" s="278"/>
      <c r="J42" s="266"/>
      <c r="K42" s="266"/>
      <c r="L42" s="266"/>
      <c r="M42" s="266">
        <f t="shared" si="11"/>
        <v>50</v>
      </c>
      <c r="N42" s="266"/>
      <c r="O42" s="278"/>
      <c r="P42" s="268" t="str">
        <f t="shared" si="14"/>
        <v xml:space="preserve"> </v>
      </c>
      <c r="Q42" s="266" t="str">
        <f t="shared" si="10"/>
        <v xml:space="preserve"> </v>
      </c>
      <c r="R42" s="266" t="str">
        <f t="shared" si="9"/>
        <v xml:space="preserve"> </v>
      </c>
      <c r="S42" s="266"/>
      <c r="T42" s="266"/>
      <c r="U42" s="266" t="str">
        <f t="shared" si="1"/>
        <v xml:space="preserve"> </v>
      </c>
      <c r="V42" s="266"/>
      <c r="W42" s="266"/>
      <c r="X42" s="266"/>
      <c r="Y42" s="266"/>
      <c r="Z42" s="266" t="str">
        <f t="shared" si="7"/>
        <v xml:space="preserve"> </v>
      </c>
      <c r="AA42" s="266"/>
      <c r="AB42" s="266"/>
      <c r="AC42" s="266"/>
      <c r="AD42" s="266"/>
      <c r="AE42" s="266"/>
      <c r="AF42" s="266"/>
      <c r="AG42" s="289"/>
      <c r="AH42" s="266"/>
      <c r="AI42" s="266"/>
      <c r="AJ42" s="266"/>
      <c r="AK42" s="266"/>
      <c r="AL42" s="266"/>
      <c r="AM42" s="266"/>
      <c r="AN42" s="266"/>
      <c r="AO42" s="266"/>
      <c r="AP42" s="266"/>
      <c r="AQ42" s="266"/>
      <c r="AR42" s="278" t="str">
        <f t="shared" si="15"/>
        <v xml:space="preserve"> </v>
      </c>
      <c r="AS42" s="266"/>
      <c r="AT42" s="276">
        <f t="shared" si="12"/>
        <v>0</v>
      </c>
    </row>
    <row r="43" spans="1:46">
      <c r="A43" s="258">
        <v>45282</v>
      </c>
      <c r="B43" s="257">
        <v>0.27013888888888887</v>
      </c>
      <c r="C43" s="255" t="s">
        <v>290</v>
      </c>
      <c r="E43" s="255" t="s">
        <v>258</v>
      </c>
      <c r="F43" s="256">
        <v>-2400</v>
      </c>
      <c r="G43" s="256">
        <v>2775.96</v>
      </c>
      <c r="H43" s="267">
        <f t="shared" si="13"/>
        <v>0</v>
      </c>
      <c r="I43" s="278"/>
      <c r="J43" s="266"/>
      <c r="K43" s="266"/>
      <c r="L43" s="266"/>
      <c r="M43" s="266" t="str">
        <f t="shared" si="11"/>
        <v xml:space="preserve"> </v>
      </c>
      <c r="N43" s="266"/>
      <c r="O43" s="278"/>
      <c r="P43" s="268" t="str">
        <f t="shared" si="14"/>
        <v xml:space="preserve"> </v>
      </c>
      <c r="Q43" s="266" t="str">
        <f t="shared" si="10"/>
        <v xml:space="preserve"> </v>
      </c>
      <c r="R43" s="266" t="str">
        <f t="shared" si="9"/>
        <v xml:space="preserve"> </v>
      </c>
      <c r="S43" s="266"/>
      <c r="T43" s="266"/>
      <c r="U43" s="266" t="str">
        <f t="shared" si="1"/>
        <v xml:space="preserve"> </v>
      </c>
      <c r="V43" s="266"/>
      <c r="W43" s="266"/>
      <c r="X43" s="266"/>
      <c r="Y43" s="266"/>
      <c r="Z43" s="266" t="str">
        <f t="shared" si="7"/>
        <v xml:space="preserve"> </v>
      </c>
      <c r="AA43" s="266"/>
      <c r="AB43" s="266"/>
      <c r="AC43" s="266"/>
      <c r="AD43" s="266"/>
      <c r="AE43" s="266"/>
      <c r="AF43" s="266"/>
      <c r="AG43" s="289"/>
      <c r="AH43" s="266"/>
      <c r="AI43" s="266"/>
      <c r="AJ43" s="266"/>
      <c r="AK43" s="266"/>
      <c r="AL43" s="266"/>
      <c r="AM43" s="266"/>
      <c r="AN43" s="266"/>
      <c r="AO43" s="266"/>
      <c r="AP43" s="266"/>
      <c r="AQ43" s="266"/>
      <c r="AR43" s="278">
        <f t="shared" si="15"/>
        <v>2400</v>
      </c>
      <c r="AS43" s="266"/>
      <c r="AT43" s="276">
        <f t="shared" si="12"/>
        <v>0</v>
      </c>
    </row>
    <row r="44" spans="1:46">
      <c r="A44" s="258">
        <v>45282</v>
      </c>
      <c r="B44" s="257">
        <v>0.50277777777777777</v>
      </c>
      <c r="C44" s="255" t="s">
        <v>291</v>
      </c>
      <c r="E44" s="255" t="s">
        <v>282</v>
      </c>
      <c r="F44" s="256">
        <v>200</v>
      </c>
      <c r="G44" s="256">
        <v>2975.96</v>
      </c>
      <c r="H44" s="267">
        <f t="shared" si="13"/>
        <v>0</v>
      </c>
      <c r="I44" s="278"/>
      <c r="J44" s="266"/>
      <c r="K44" s="266"/>
      <c r="L44" s="266"/>
      <c r="M44" s="266">
        <f t="shared" si="11"/>
        <v>200</v>
      </c>
      <c r="N44" s="266"/>
      <c r="O44" s="278"/>
      <c r="P44" s="268" t="str">
        <f t="shared" si="14"/>
        <v xml:space="preserve"> </v>
      </c>
      <c r="Q44" s="266" t="str">
        <f t="shared" si="10"/>
        <v xml:space="preserve"> </v>
      </c>
      <c r="R44" s="266" t="str">
        <f t="shared" si="9"/>
        <v xml:space="preserve"> </v>
      </c>
      <c r="S44" s="266"/>
      <c r="T44" s="266"/>
      <c r="U44" s="266" t="str">
        <f t="shared" si="1"/>
        <v xml:space="preserve"> </v>
      </c>
      <c r="V44" s="266"/>
      <c r="W44" s="266"/>
      <c r="X44" s="266"/>
      <c r="Y44" s="266"/>
      <c r="Z44" s="266" t="str">
        <f t="shared" si="7"/>
        <v xml:space="preserve"> </v>
      </c>
      <c r="AA44" s="266"/>
      <c r="AB44" s="266"/>
      <c r="AC44" s="266"/>
      <c r="AD44" s="266"/>
      <c r="AE44" s="266"/>
      <c r="AF44" s="266"/>
      <c r="AG44" s="289"/>
      <c r="AH44" s="266"/>
      <c r="AI44" s="266"/>
      <c r="AJ44" s="266"/>
      <c r="AK44" s="266"/>
      <c r="AL44" s="266"/>
      <c r="AM44" s="266"/>
      <c r="AN44" s="266"/>
      <c r="AO44" s="266"/>
      <c r="AP44" s="266"/>
      <c r="AQ44" s="266"/>
      <c r="AR44" s="278" t="str">
        <f t="shared" si="15"/>
        <v xml:space="preserve"> </v>
      </c>
      <c r="AS44" s="266"/>
      <c r="AT44" s="276">
        <f t="shared" si="12"/>
        <v>0</v>
      </c>
    </row>
    <row r="45" spans="1:46">
      <c r="A45" s="258">
        <v>45282</v>
      </c>
      <c r="B45" s="257">
        <v>0.54374999999999996</v>
      </c>
      <c r="C45" s="255" t="s">
        <v>292</v>
      </c>
      <c r="E45" s="255" t="s">
        <v>256</v>
      </c>
      <c r="F45" s="256">
        <v>100</v>
      </c>
      <c r="G45" s="256">
        <v>3075.96</v>
      </c>
      <c r="H45" s="267">
        <f t="shared" si="13"/>
        <v>0</v>
      </c>
      <c r="I45" s="278"/>
      <c r="J45" s="266"/>
      <c r="K45" s="266"/>
      <c r="L45" s="266"/>
      <c r="M45" s="266">
        <f t="shared" si="11"/>
        <v>100</v>
      </c>
      <c r="N45" s="266"/>
      <c r="O45" s="278"/>
      <c r="P45" s="268" t="str">
        <f t="shared" si="14"/>
        <v xml:space="preserve"> </v>
      </c>
      <c r="Q45" s="266" t="str">
        <f t="shared" si="10"/>
        <v xml:space="preserve"> </v>
      </c>
      <c r="R45" s="266" t="str">
        <f t="shared" si="9"/>
        <v xml:space="preserve"> </v>
      </c>
      <c r="S45" s="266"/>
      <c r="T45" s="266"/>
      <c r="U45" s="266" t="str">
        <f t="shared" si="1"/>
        <v xml:space="preserve"> </v>
      </c>
      <c r="V45" s="266"/>
      <c r="W45" s="266"/>
      <c r="X45" s="266"/>
      <c r="Y45" s="266"/>
      <c r="Z45" s="266" t="str">
        <f t="shared" si="7"/>
        <v xml:space="preserve"> </v>
      </c>
      <c r="AA45" s="266"/>
      <c r="AB45" s="266"/>
      <c r="AC45" s="266"/>
      <c r="AD45" s="266"/>
      <c r="AE45" s="266"/>
      <c r="AF45" s="266"/>
      <c r="AG45" s="289"/>
      <c r="AH45" s="266"/>
      <c r="AI45" s="266"/>
      <c r="AJ45" s="266"/>
      <c r="AK45" s="266"/>
      <c r="AL45" s="266"/>
      <c r="AM45" s="266"/>
      <c r="AN45" s="266"/>
      <c r="AO45" s="266"/>
      <c r="AP45" s="266"/>
      <c r="AQ45" s="266"/>
      <c r="AR45" s="278" t="str">
        <f t="shared" si="15"/>
        <v xml:space="preserve"> </v>
      </c>
      <c r="AS45" s="266"/>
      <c r="AT45" s="276">
        <f t="shared" si="12"/>
        <v>0</v>
      </c>
    </row>
    <row r="46" spans="1:46">
      <c r="A46" s="258">
        <v>45287</v>
      </c>
      <c r="B46" s="257">
        <v>0.77430555555555558</v>
      </c>
      <c r="C46" s="255" t="s">
        <v>293</v>
      </c>
      <c r="E46" s="255" t="s">
        <v>294</v>
      </c>
      <c r="F46" s="256">
        <v>500</v>
      </c>
      <c r="G46" s="256">
        <v>3575.96</v>
      </c>
      <c r="H46" s="267">
        <f t="shared" si="13"/>
        <v>0</v>
      </c>
      <c r="I46" s="278"/>
      <c r="J46" s="266"/>
      <c r="K46" s="266"/>
      <c r="L46" s="266"/>
      <c r="M46" s="266">
        <f>F46</f>
        <v>500</v>
      </c>
      <c r="N46" s="266"/>
      <c r="O46" s="278"/>
      <c r="P46" s="268" t="str">
        <f t="shared" si="14"/>
        <v xml:space="preserve"> </v>
      </c>
      <c r="Q46" s="266" t="str">
        <f t="shared" si="10"/>
        <v xml:space="preserve"> </v>
      </c>
      <c r="R46" s="266" t="str">
        <f t="shared" si="9"/>
        <v xml:space="preserve"> </v>
      </c>
      <c r="S46" s="266"/>
      <c r="T46" s="266"/>
      <c r="U46" s="266" t="str">
        <f t="shared" si="1"/>
        <v xml:space="preserve"> </v>
      </c>
      <c r="V46" s="266"/>
      <c r="W46" s="266"/>
      <c r="X46" s="266"/>
      <c r="Y46" s="266"/>
      <c r="Z46" s="266" t="str">
        <f t="shared" si="7"/>
        <v xml:space="preserve"> </v>
      </c>
      <c r="AA46" s="266"/>
      <c r="AB46" s="266"/>
      <c r="AC46" s="266"/>
      <c r="AD46" s="266"/>
      <c r="AE46" s="266"/>
      <c r="AF46" s="266"/>
      <c r="AG46" s="289"/>
      <c r="AH46" s="266"/>
      <c r="AI46" s="266"/>
      <c r="AJ46" s="266"/>
      <c r="AK46" s="266"/>
      <c r="AL46" s="266"/>
      <c r="AM46" s="266"/>
      <c r="AN46" s="266"/>
      <c r="AO46" s="266"/>
      <c r="AP46" s="266"/>
      <c r="AQ46" s="266"/>
      <c r="AR46" s="278" t="str">
        <f t="shared" si="15"/>
        <v xml:space="preserve"> </v>
      </c>
      <c r="AS46" s="266"/>
      <c r="AT46" s="276">
        <f t="shared" si="12"/>
        <v>0</v>
      </c>
    </row>
    <row r="47" spans="1:46">
      <c r="A47" s="258">
        <v>45288</v>
      </c>
      <c r="B47" s="257">
        <v>0.2638888888888889</v>
      </c>
      <c r="C47" s="255" t="s">
        <v>295</v>
      </c>
      <c r="E47" s="255" t="s">
        <v>296</v>
      </c>
      <c r="F47" s="256">
        <v>-456.04</v>
      </c>
      <c r="G47" s="256">
        <v>3119.92</v>
      </c>
      <c r="H47" s="267">
        <f t="shared" si="13"/>
        <v>0</v>
      </c>
      <c r="I47" s="278"/>
      <c r="J47" s="266"/>
      <c r="K47" s="266"/>
      <c r="L47" s="266"/>
      <c r="M47" s="266" t="str">
        <f t="shared" si="11"/>
        <v xml:space="preserve"> </v>
      </c>
      <c r="N47" s="266"/>
      <c r="O47" s="278"/>
      <c r="P47" s="268" t="str">
        <f t="shared" si="14"/>
        <v xml:space="preserve"> </v>
      </c>
      <c r="Q47" s="266" t="str">
        <f t="shared" si="10"/>
        <v xml:space="preserve"> </v>
      </c>
      <c r="R47" s="266" t="str">
        <f t="shared" si="9"/>
        <v xml:space="preserve"> </v>
      </c>
      <c r="S47" s="266"/>
      <c r="T47" s="266"/>
      <c r="U47" s="266" t="str">
        <f t="shared" si="1"/>
        <v xml:space="preserve"> </v>
      </c>
      <c r="V47" s="266"/>
      <c r="W47" s="266"/>
      <c r="X47" s="266"/>
      <c r="Y47" s="266"/>
      <c r="Z47" s="266" t="str">
        <f t="shared" si="7"/>
        <v xml:space="preserve"> </v>
      </c>
      <c r="AA47" s="266"/>
      <c r="AB47" s="266"/>
      <c r="AC47" s="266"/>
      <c r="AD47" s="266"/>
      <c r="AE47" s="266"/>
      <c r="AF47" s="266"/>
      <c r="AG47" s="289"/>
      <c r="AH47" s="266"/>
      <c r="AI47" s="266"/>
      <c r="AJ47" s="266"/>
      <c r="AK47" s="266"/>
      <c r="AL47" s="266"/>
      <c r="AM47" s="266"/>
      <c r="AN47" s="266">
        <f>-F47</f>
        <v>456.04</v>
      </c>
      <c r="AO47" s="266"/>
      <c r="AP47" s="266"/>
      <c r="AQ47" s="266"/>
      <c r="AR47" s="278" t="str">
        <f t="shared" si="15"/>
        <v xml:space="preserve"> </v>
      </c>
      <c r="AS47" s="266"/>
      <c r="AT47" s="276">
        <f t="shared" si="12"/>
        <v>0</v>
      </c>
    </row>
    <row r="48" spans="1:46">
      <c r="A48" s="258">
        <v>45291</v>
      </c>
      <c r="B48" s="257">
        <v>0.79027777777777775</v>
      </c>
      <c r="C48" s="255" t="s">
        <v>297</v>
      </c>
      <c r="F48" s="256">
        <v>-0.22</v>
      </c>
      <c r="G48" s="256">
        <v>3119.7</v>
      </c>
      <c r="H48" s="267">
        <f t="shared" si="13"/>
        <v>0</v>
      </c>
      <c r="I48" s="278"/>
      <c r="J48" s="266"/>
      <c r="K48" s="266"/>
      <c r="L48" s="266"/>
      <c r="M48" s="266" t="str">
        <f t="shared" si="11"/>
        <v xml:space="preserve"> </v>
      </c>
      <c r="N48" s="266"/>
      <c r="O48" s="278"/>
      <c r="P48" s="268" t="str">
        <f t="shared" si="14"/>
        <v xml:space="preserve"> </v>
      </c>
      <c r="Q48" s="266" t="str">
        <f t="shared" si="10"/>
        <v xml:space="preserve"> </v>
      </c>
      <c r="R48" s="266" t="str">
        <f t="shared" si="9"/>
        <v xml:space="preserve"> </v>
      </c>
      <c r="S48" s="266"/>
      <c r="T48" s="266"/>
      <c r="U48" s="266">
        <f>-F48</f>
        <v>0.22</v>
      </c>
      <c r="V48" s="266"/>
      <c r="W48" s="266"/>
      <c r="X48" s="266"/>
      <c r="Y48" s="266"/>
      <c r="Z48" s="266" t="str">
        <f t="shared" si="7"/>
        <v xml:space="preserve"> </v>
      </c>
      <c r="AA48" s="266"/>
      <c r="AB48" s="266"/>
      <c r="AC48" s="266"/>
      <c r="AD48" s="266"/>
      <c r="AE48" s="266"/>
      <c r="AF48" s="266"/>
      <c r="AG48" s="289"/>
      <c r="AH48" s="266"/>
      <c r="AI48" s="266"/>
      <c r="AJ48" s="266"/>
      <c r="AK48" s="266"/>
      <c r="AL48" s="266"/>
      <c r="AM48" s="266"/>
      <c r="AN48" s="266"/>
      <c r="AO48" s="266"/>
      <c r="AP48" s="266"/>
      <c r="AQ48" s="266"/>
      <c r="AR48" s="278" t="str">
        <f t="shared" si="15"/>
        <v xml:space="preserve"> </v>
      </c>
      <c r="AS48" s="266"/>
      <c r="AT48" s="276">
        <f t="shared" si="12"/>
        <v>0</v>
      </c>
    </row>
    <row r="49" spans="1:46">
      <c r="A49" s="258">
        <v>45291</v>
      </c>
      <c r="B49" s="257">
        <v>0.79027777777777775</v>
      </c>
      <c r="C49" s="255" t="s">
        <v>239</v>
      </c>
      <c r="F49" s="256">
        <v>-18</v>
      </c>
      <c r="G49" s="256">
        <v>3101.7</v>
      </c>
      <c r="H49" s="267">
        <f t="shared" si="13"/>
        <v>0</v>
      </c>
      <c r="I49" s="278"/>
      <c r="J49" s="266"/>
      <c r="K49" s="266"/>
      <c r="L49" s="266"/>
      <c r="M49" s="266" t="str">
        <f t="shared" si="11"/>
        <v xml:space="preserve"> </v>
      </c>
      <c r="N49" s="266"/>
      <c r="O49" s="278"/>
      <c r="P49" s="268" t="str">
        <f t="shared" si="14"/>
        <v xml:space="preserve"> </v>
      </c>
      <c r="Q49" s="266" t="str">
        <f t="shared" si="10"/>
        <v xml:space="preserve"> </v>
      </c>
      <c r="S49" s="266"/>
      <c r="T49" s="266">
        <f>IF(ISNUMBER(FIND("Service Charge",C49)),-F49," ")</f>
        <v>18</v>
      </c>
      <c r="U49" s="266" t="str">
        <f t="shared" si="1"/>
        <v xml:space="preserve"> </v>
      </c>
      <c r="V49" s="266"/>
      <c r="W49" s="266"/>
      <c r="X49" s="266"/>
      <c r="Y49" s="266"/>
      <c r="Z49" s="266" t="str">
        <f t="shared" si="7"/>
        <v xml:space="preserve"> </v>
      </c>
      <c r="AA49" s="266"/>
      <c r="AB49" s="266"/>
      <c r="AC49" s="266"/>
      <c r="AD49" s="266"/>
      <c r="AE49" s="266"/>
      <c r="AF49" s="266"/>
      <c r="AG49" s="289"/>
      <c r="AH49" s="266"/>
      <c r="AI49" s="266"/>
      <c r="AJ49" s="266"/>
      <c r="AK49" s="266"/>
      <c r="AL49" s="266"/>
      <c r="AM49" s="266"/>
      <c r="AN49" s="266"/>
      <c r="AO49" s="266"/>
      <c r="AP49" s="266"/>
      <c r="AQ49" s="266"/>
      <c r="AR49" s="278" t="str">
        <f t="shared" si="15"/>
        <v xml:space="preserve"> </v>
      </c>
      <c r="AS49" s="266"/>
      <c r="AT49" s="276">
        <f t="shared" si="12"/>
        <v>0</v>
      </c>
    </row>
    <row r="50" spans="1:46">
      <c r="A50" s="258">
        <v>45299</v>
      </c>
      <c r="B50" s="257">
        <v>0.26458333333333334</v>
      </c>
      <c r="C50" s="255" t="s">
        <v>298</v>
      </c>
      <c r="E50" s="264">
        <v>679000000000</v>
      </c>
      <c r="F50" s="256">
        <v>456.04</v>
      </c>
      <c r="G50" s="256">
        <v>3557.74</v>
      </c>
      <c r="H50" s="267">
        <f t="shared" si="13"/>
        <v>0</v>
      </c>
      <c r="I50" s="278"/>
      <c r="J50" s="266"/>
      <c r="K50" s="266"/>
      <c r="L50" s="266"/>
      <c r="M50" s="266" t="str">
        <f t="shared" si="11"/>
        <v xml:space="preserve"> </v>
      </c>
      <c r="N50" s="266"/>
      <c r="O50" s="278"/>
      <c r="P50" s="268" t="str">
        <f t="shared" si="14"/>
        <v xml:space="preserve"> </v>
      </c>
      <c r="Q50" s="266" t="str">
        <f t="shared" si="10"/>
        <v xml:space="preserve"> </v>
      </c>
      <c r="R50" s="266" t="str">
        <f t="shared" si="9"/>
        <v xml:space="preserve"> </v>
      </c>
      <c r="S50" s="266"/>
      <c r="T50" s="266"/>
      <c r="U50" s="266" t="str">
        <f t="shared" si="1"/>
        <v xml:space="preserve"> </v>
      </c>
      <c r="V50" s="266"/>
      <c r="W50" s="266"/>
      <c r="X50" s="266"/>
      <c r="Y50" s="266"/>
      <c r="Z50" s="266" t="str">
        <f t="shared" si="7"/>
        <v xml:space="preserve"> </v>
      </c>
      <c r="AA50" s="266"/>
      <c r="AB50" s="266"/>
      <c r="AC50" s="266"/>
      <c r="AD50" s="266"/>
      <c r="AE50" s="266"/>
      <c r="AF50" s="266"/>
      <c r="AG50" s="289"/>
      <c r="AH50" s="266"/>
      <c r="AI50" s="266"/>
      <c r="AJ50" s="266"/>
      <c r="AK50" s="266"/>
      <c r="AL50" s="266"/>
      <c r="AM50" s="266"/>
      <c r="AN50" s="289">
        <f>-F50</f>
        <v>-456.04</v>
      </c>
      <c r="AO50" s="266"/>
      <c r="AP50" s="266"/>
      <c r="AQ50" s="266"/>
      <c r="AR50" s="278" t="str">
        <f t="shared" si="15"/>
        <v xml:space="preserve"> </v>
      </c>
      <c r="AS50" s="266"/>
      <c r="AT50" s="276">
        <f t="shared" si="12"/>
        <v>0</v>
      </c>
    </row>
    <row r="51" spans="1:46">
      <c r="A51" s="258">
        <v>45302</v>
      </c>
      <c r="B51" s="257">
        <v>0.43125000000000002</v>
      </c>
      <c r="C51" s="255" t="s">
        <v>251</v>
      </c>
      <c r="E51" s="255" t="s">
        <v>299</v>
      </c>
      <c r="F51" s="256">
        <v>-76.099999999999994</v>
      </c>
      <c r="G51" s="256">
        <v>3481.64</v>
      </c>
      <c r="H51" s="267">
        <f t="shared" si="13"/>
        <v>0</v>
      </c>
      <c r="I51" s="278"/>
      <c r="J51" s="266"/>
      <c r="K51" s="266"/>
      <c r="L51" s="266"/>
      <c r="M51" s="266" t="str">
        <f t="shared" si="11"/>
        <v xml:space="preserve"> </v>
      </c>
      <c r="N51" s="266"/>
      <c r="O51" s="278"/>
      <c r="P51" s="268" t="str">
        <f t="shared" si="14"/>
        <v xml:space="preserve"> </v>
      </c>
      <c r="Q51" s="266" t="str">
        <f t="shared" si="10"/>
        <v xml:space="preserve"> </v>
      </c>
      <c r="R51" s="266" t="str">
        <f t="shared" si="9"/>
        <v xml:space="preserve"> </v>
      </c>
      <c r="S51" s="266"/>
      <c r="T51" s="266"/>
      <c r="U51" s="266">
        <f t="shared" si="1"/>
        <v>76.099999999999994</v>
      </c>
      <c r="V51" s="266"/>
      <c r="W51" s="266"/>
      <c r="X51" s="266"/>
      <c r="Y51" s="266"/>
      <c r="Z51" s="266" t="str">
        <f t="shared" si="7"/>
        <v xml:space="preserve"> </v>
      </c>
      <c r="AA51" s="266"/>
      <c r="AB51" s="266"/>
      <c r="AC51" s="266"/>
      <c r="AD51" s="266"/>
      <c r="AE51" s="266"/>
      <c r="AF51" s="266"/>
      <c r="AG51" s="289"/>
      <c r="AH51" s="266"/>
      <c r="AI51" s="266"/>
      <c r="AJ51" s="266"/>
      <c r="AK51" s="266"/>
      <c r="AL51" s="266"/>
      <c r="AM51" s="266"/>
      <c r="AN51" s="266"/>
      <c r="AO51" s="266"/>
      <c r="AP51" s="266"/>
      <c r="AQ51" s="266"/>
      <c r="AR51" s="278" t="str">
        <f t="shared" si="15"/>
        <v xml:space="preserve"> </v>
      </c>
      <c r="AS51" s="266"/>
      <c r="AT51" s="276">
        <f t="shared" si="12"/>
        <v>0</v>
      </c>
    </row>
    <row r="52" spans="1:46">
      <c r="A52" s="258">
        <v>45302</v>
      </c>
      <c r="B52" s="257">
        <v>0.43125000000000002</v>
      </c>
      <c r="C52" s="255" t="s">
        <v>300</v>
      </c>
      <c r="E52" s="255" t="s">
        <v>301</v>
      </c>
      <c r="F52" s="256">
        <v>-150</v>
      </c>
      <c r="G52" s="256">
        <v>3331.64</v>
      </c>
      <c r="H52" s="267">
        <f t="shared" si="13"/>
        <v>0</v>
      </c>
      <c r="I52" s="278"/>
      <c r="J52" s="266"/>
      <c r="K52" s="266"/>
      <c r="L52" s="266"/>
      <c r="M52" s="266" t="str">
        <f t="shared" si="11"/>
        <v xml:space="preserve"> </v>
      </c>
      <c r="N52" s="266"/>
      <c r="O52" s="278"/>
      <c r="P52" s="268" t="str">
        <f t="shared" si="14"/>
        <v xml:space="preserve"> </v>
      </c>
      <c r="Q52" s="266" t="str">
        <f t="shared" si="10"/>
        <v xml:space="preserve"> </v>
      </c>
      <c r="R52" s="266" t="str">
        <f t="shared" si="9"/>
        <v xml:space="preserve"> </v>
      </c>
      <c r="S52" s="266"/>
      <c r="T52" s="266"/>
      <c r="U52" s="266" t="str">
        <f t="shared" si="1"/>
        <v xml:space="preserve"> </v>
      </c>
      <c r="V52" s="266"/>
      <c r="W52" s="266"/>
      <c r="X52" s="266"/>
      <c r="Y52" s="266"/>
      <c r="Z52" s="266" t="str">
        <f t="shared" si="7"/>
        <v xml:space="preserve"> </v>
      </c>
      <c r="AA52" s="266"/>
      <c r="AB52" s="266"/>
      <c r="AC52" s="266"/>
      <c r="AD52" s="266"/>
      <c r="AE52" s="266"/>
      <c r="AF52" s="266"/>
      <c r="AG52" s="289"/>
      <c r="AH52" s="266"/>
      <c r="AI52" s="266"/>
      <c r="AJ52" s="266"/>
      <c r="AK52" s="266"/>
      <c r="AL52" s="266"/>
      <c r="AM52" s="266"/>
      <c r="AN52" s="266"/>
      <c r="AO52" s="266"/>
      <c r="AP52" s="266">
        <f>-F52</f>
        <v>150</v>
      </c>
      <c r="AQ52" s="266"/>
      <c r="AR52" s="278" t="str">
        <f t="shared" si="15"/>
        <v xml:space="preserve"> </v>
      </c>
      <c r="AS52" s="266"/>
      <c r="AT52" s="276">
        <f t="shared" si="12"/>
        <v>0</v>
      </c>
    </row>
    <row r="53" spans="1:46">
      <c r="A53" s="258">
        <v>45302</v>
      </c>
      <c r="B53" s="257">
        <v>0.43125000000000002</v>
      </c>
      <c r="C53" s="255" t="s">
        <v>302</v>
      </c>
      <c r="E53" s="255" t="s">
        <v>303</v>
      </c>
      <c r="F53" s="256">
        <v>-165</v>
      </c>
      <c r="G53" s="256">
        <v>3166.64</v>
      </c>
      <c r="H53" s="267">
        <f t="shared" si="13"/>
        <v>0</v>
      </c>
      <c r="I53" s="278"/>
      <c r="J53" s="266"/>
      <c r="K53" s="266"/>
      <c r="L53" s="266"/>
      <c r="M53" s="266" t="str">
        <f t="shared" si="11"/>
        <v xml:space="preserve"> </v>
      </c>
      <c r="N53" s="266"/>
      <c r="O53" s="278"/>
      <c r="P53" s="268" t="str">
        <f t="shared" si="14"/>
        <v xml:space="preserve"> </v>
      </c>
      <c r="Q53" s="266" t="str">
        <f t="shared" si="10"/>
        <v xml:space="preserve"> </v>
      </c>
      <c r="R53" s="266" t="str">
        <f t="shared" si="9"/>
        <v xml:space="preserve"> </v>
      </c>
      <c r="S53" s="266"/>
      <c r="T53" s="266"/>
      <c r="U53" s="266" t="str">
        <f t="shared" si="1"/>
        <v xml:space="preserve"> </v>
      </c>
      <c r="V53" s="266"/>
      <c r="W53" s="266"/>
      <c r="X53" s="266"/>
      <c r="Y53" s="266"/>
      <c r="Z53" s="266" t="str">
        <f t="shared" si="7"/>
        <v xml:space="preserve"> </v>
      </c>
      <c r="AA53" s="266"/>
      <c r="AB53" s="266"/>
      <c r="AC53" s="266"/>
      <c r="AD53" s="266"/>
      <c r="AE53" s="266"/>
      <c r="AF53" s="266"/>
      <c r="AG53" s="289">
        <f>-F53</f>
        <v>165</v>
      </c>
      <c r="AH53" s="266"/>
      <c r="AI53" s="266"/>
      <c r="AJ53" s="266"/>
      <c r="AK53" s="266"/>
      <c r="AL53" s="266"/>
      <c r="AM53" s="266"/>
      <c r="AN53" s="266"/>
      <c r="AO53" s="266"/>
      <c r="AP53" s="266"/>
      <c r="AQ53" s="266"/>
      <c r="AR53" s="278" t="str">
        <f t="shared" si="15"/>
        <v xml:space="preserve"> </v>
      </c>
      <c r="AS53" s="266"/>
      <c r="AT53" s="276">
        <f t="shared" si="12"/>
        <v>0</v>
      </c>
    </row>
    <row r="54" spans="1:46">
      <c r="A54" s="258">
        <v>45302</v>
      </c>
      <c r="B54" s="257">
        <v>0.43125000000000002</v>
      </c>
      <c r="C54" s="255" t="s">
        <v>304</v>
      </c>
      <c r="E54" s="255" t="s">
        <v>305</v>
      </c>
      <c r="F54" s="256">
        <v>-150</v>
      </c>
      <c r="G54" s="256">
        <v>3016.64</v>
      </c>
      <c r="H54" s="267">
        <f t="shared" si="13"/>
        <v>0</v>
      </c>
      <c r="I54" s="278"/>
      <c r="J54" s="266"/>
      <c r="K54" s="266"/>
      <c r="L54" s="266"/>
      <c r="M54" s="266" t="str">
        <f t="shared" si="11"/>
        <v xml:space="preserve"> </v>
      </c>
      <c r="N54" s="266"/>
      <c r="O54" s="278"/>
      <c r="P54" s="268" t="str">
        <f t="shared" si="14"/>
        <v xml:space="preserve"> </v>
      </c>
      <c r="Q54" s="266" t="str">
        <f t="shared" si="10"/>
        <v xml:space="preserve"> </v>
      </c>
      <c r="R54" s="266" t="str">
        <f t="shared" si="9"/>
        <v xml:space="preserve"> </v>
      </c>
      <c r="S54" s="266"/>
      <c r="T54" s="266"/>
      <c r="U54" s="266" t="str">
        <f t="shared" si="1"/>
        <v xml:space="preserve"> </v>
      </c>
      <c r="V54" s="266"/>
      <c r="W54" s="266"/>
      <c r="X54" s="266"/>
      <c r="Y54" s="266"/>
      <c r="Z54" s="266" t="str">
        <f t="shared" si="7"/>
        <v xml:space="preserve"> </v>
      </c>
      <c r="AA54" s="266"/>
      <c r="AB54" s="266"/>
      <c r="AC54" s="266"/>
      <c r="AD54" s="266"/>
      <c r="AE54" s="266"/>
      <c r="AF54" s="266"/>
      <c r="AG54" s="289">
        <f>-F54</f>
        <v>150</v>
      </c>
      <c r="AH54" s="266"/>
      <c r="AI54" s="266"/>
      <c r="AJ54" s="266"/>
      <c r="AK54" s="266"/>
      <c r="AL54" s="266"/>
      <c r="AM54" s="266"/>
      <c r="AN54" s="266"/>
      <c r="AO54" s="266"/>
      <c r="AP54" s="266"/>
      <c r="AQ54" s="266"/>
      <c r="AR54" s="278" t="str">
        <f t="shared" si="15"/>
        <v xml:space="preserve"> </v>
      </c>
      <c r="AS54" s="266"/>
      <c r="AT54" s="276">
        <f t="shared" si="12"/>
        <v>0</v>
      </c>
    </row>
    <row r="55" spans="1:46">
      <c r="A55" s="258">
        <v>45302</v>
      </c>
      <c r="B55" s="257">
        <v>0.43125000000000002</v>
      </c>
      <c r="C55" s="255" t="s">
        <v>249</v>
      </c>
      <c r="E55" s="255" t="s">
        <v>306</v>
      </c>
      <c r="F55" s="256">
        <v>-59.44</v>
      </c>
      <c r="G55" s="256">
        <v>2957.2</v>
      </c>
      <c r="H55" s="267">
        <f t="shared" si="13"/>
        <v>0</v>
      </c>
      <c r="I55" s="278"/>
      <c r="J55" s="266"/>
      <c r="K55" s="266"/>
      <c r="L55" s="266"/>
      <c r="M55" s="266" t="str">
        <f t="shared" si="11"/>
        <v xml:space="preserve"> </v>
      </c>
      <c r="N55" s="266"/>
      <c r="O55" s="278"/>
      <c r="P55" s="268" t="str">
        <f t="shared" si="14"/>
        <v xml:space="preserve"> </v>
      </c>
      <c r="Q55" s="266" t="str">
        <f t="shared" si="10"/>
        <v xml:space="preserve"> </v>
      </c>
      <c r="R55" s="266" t="str">
        <f t="shared" si="9"/>
        <v xml:space="preserve"> </v>
      </c>
      <c r="S55" s="266"/>
      <c r="T55" s="266"/>
      <c r="U55" s="266" t="str">
        <f t="shared" si="1"/>
        <v xml:space="preserve"> </v>
      </c>
      <c r="V55" s="266"/>
      <c r="W55" s="266"/>
      <c r="X55" s="266"/>
      <c r="Y55" s="266"/>
      <c r="Z55" s="266">
        <f t="shared" si="7"/>
        <v>59.44</v>
      </c>
      <c r="AA55" s="266"/>
      <c r="AB55" s="266"/>
      <c r="AC55" s="266"/>
      <c r="AD55" s="266"/>
      <c r="AE55" s="266"/>
      <c r="AF55" s="266"/>
      <c r="AG55" s="289"/>
      <c r="AH55" s="266"/>
      <c r="AI55" s="266"/>
      <c r="AJ55" s="266"/>
      <c r="AK55" s="266"/>
      <c r="AL55" s="266"/>
      <c r="AM55" s="266"/>
      <c r="AN55" s="266"/>
      <c r="AO55" s="266"/>
      <c r="AP55" s="266"/>
      <c r="AQ55" s="266"/>
      <c r="AR55" s="278" t="str">
        <f t="shared" si="15"/>
        <v xml:space="preserve"> </v>
      </c>
      <c r="AS55" s="266"/>
      <c r="AT55" s="276">
        <f t="shared" si="12"/>
        <v>0</v>
      </c>
    </row>
    <row r="56" spans="1:46">
      <c r="A56" s="258">
        <v>45302</v>
      </c>
      <c r="B56" s="257">
        <v>0.43125000000000002</v>
      </c>
      <c r="C56" s="255" t="s">
        <v>249</v>
      </c>
      <c r="E56" s="255" t="s">
        <v>307</v>
      </c>
      <c r="F56" s="256">
        <v>-325</v>
      </c>
      <c r="G56" s="256">
        <v>2632.2</v>
      </c>
      <c r="H56" s="267">
        <f t="shared" si="13"/>
        <v>0</v>
      </c>
      <c r="I56" s="278"/>
      <c r="J56" s="266"/>
      <c r="K56" s="266"/>
      <c r="L56" s="266"/>
      <c r="M56" s="266" t="str">
        <f t="shared" si="11"/>
        <v xml:space="preserve"> </v>
      </c>
      <c r="N56" s="266"/>
      <c r="O56" s="278"/>
      <c r="P56" s="268" t="str">
        <f t="shared" si="14"/>
        <v xml:space="preserve"> </v>
      </c>
      <c r="Q56" s="266" t="str">
        <f t="shared" si="10"/>
        <v xml:space="preserve"> </v>
      </c>
      <c r="R56" s="266" t="str">
        <f t="shared" si="9"/>
        <v xml:space="preserve"> </v>
      </c>
      <c r="S56" s="266"/>
      <c r="T56" s="266"/>
      <c r="U56" s="266" t="str">
        <f t="shared" si="1"/>
        <v xml:space="preserve"> </v>
      </c>
      <c r="V56" s="266"/>
      <c r="W56" s="266"/>
      <c r="X56" s="266"/>
      <c r="Y56" s="266"/>
      <c r="Z56" s="266">
        <f>IF(ISNUMBER(FIND("austen",LOWER(E56))),-F56," ")</f>
        <v>325</v>
      </c>
      <c r="AA56" s="266"/>
      <c r="AB56" s="266"/>
      <c r="AC56" s="266"/>
      <c r="AD56" s="266"/>
      <c r="AE56" s="266"/>
      <c r="AF56" s="266"/>
      <c r="AG56" s="289"/>
      <c r="AH56" s="266"/>
      <c r="AI56" s="266"/>
      <c r="AJ56" s="266"/>
      <c r="AK56" s="266"/>
      <c r="AL56" s="266"/>
      <c r="AM56" s="266"/>
      <c r="AN56" s="266"/>
      <c r="AO56" s="266"/>
      <c r="AP56" s="266"/>
      <c r="AQ56" s="266"/>
      <c r="AR56" s="278" t="str">
        <f t="shared" si="15"/>
        <v xml:space="preserve"> </v>
      </c>
      <c r="AS56" s="266"/>
      <c r="AT56" s="276">
        <f t="shared" si="12"/>
        <v>0</v>
      </c>
    </row>
    <row r="57" spans="1:46">
      <c r="A57" s="258">
        <v>45302</v>
      </c>
      <c r="B57" s="257">
        <v>0.43125000000000002</v>
      </c>
      <c r="C57" s="255" t="s">
        <v>247</v>
      </c>
      <c r="E57" s="255" t="s">
        <v>308</v>
      </c>
      <c r="F57" s="256">
        <v>-893.1</v>
      </c>
      <c r="G57" s="256">
        <v>1739.1</v>
      </c>
      <c r="H57" s="267">
        <f t="shared" si="13"/>
        <v>0</v>
      </c>
      <c r="I57" s="278"/>
      <c r="J57" s="266"/>
      <c r="K57" s="266"/>
      <c r="L57" s="266"/>
      <c r="M57" s="266" t="str">
        <f t="shared" si="11"/>
        <v xml:space="preserve"> </v>
      </c>
      <c r="N57" s="266"/>
      <c r="O57" s="278"/>
      <c r="P57" s="268" t="str">
        <f t="shared" si="14"/>
        <v xml:space="preserve"> </v>
      </c>
      <c r="Q57" s="266">
        <f t="shared" si="10"/>
        <v>893.1</v>
      </c>
      <c r="R57" s="266" t="str">
        <f t="shared" si="9"/>
        <v xml:space="preserve"> </v>
      </c>
      <c r="S57" s="266"/>
      <c r="T57" s="266"/>
      <c r="U57" s="266" t="str">
        <f t="shared" si="1"/>
        <v xml:space="preserve"> </v>
      </c>
      <c r="V57" s="266"/>
      <c r="W57" s="266"/>
      <c r="X57" s="266"/>
      <c r="Y57" s="266"/>
      <c r="Z57" s="266" t="str">
        <f t="shared" ref="Z57:Z79" si="16">IF(ISNUMBER(FIND("austen",LOWER(E57))),-F57," ")</f>
        <v xml:space="preserve"> </v>
      </c>
      <c r="AA57" s="266"/>
      <c r="AB57" s="266"/>
      <c r="AC57" s="266"/>
      <c r="AD57" s="266"/>
      <c r="AE57" s="266"/>
      <c r="AF57" s="266"/>
      <c r="AG57" s="289"/>
      <c r="AH57" s="266"/>
      <c r="AI57" s="266"/>
      <c r="AJ57" s="266"/>
      <c r="AK57" s="266"/>
      <c r="AL57" s="266"/>
      <c r="AM57" s="266"/>
      <c r="AN57" s="266"/>
      <c r="AO57" s="266"/>
      <c r="AP57" s="266"/>
      <c r="AQ57" s="266"/>
      <c r="AR57" s="278" t="str">
        <f t="shared" si="15"/>
        <v xml:space="preserve"> </v>
      </c>
      <c r="AS57" s="266"/>
      <c r="AT57" s="276">
        <f t="shared" si="12"/>
        <v>0</v>
      </c>
    </row>
    <row r="58" spans="1:46">
      <c r="A58" s="258">
        <v>45302</v>
      </c>
      <c r="B58" s="257">
        <v>0.43125000000000002</v>
      </c>
      <c r="C58" s="255" t="s">
        <v>247</v>
      </c>
      <c r="E58" s="255" t="s">
        <v>309</v>
      </c>
      <c r="F58" s="256">
        <v>-810.07</v>
      </c>
      <c r="G58" s="256">
        <v>929.03</v>
      </c>
      <c r="H58" s="267">
        <f t="shared" si="13"/>
        <v>0</v>
      </c>
      <c r="I58" s="278"/>
      <c r="J58" s="266"/>
      <c r="K58" s="266"/>
      <c r="L58" s="266"/>
      <c r="M58" s="266" t="str">
        <f t="shared" si="11"/>
        <v xml:space="preserve"> </v>
      </c>
      <c r="N58" s="266"/>
      <c r="O58" s="278"/>
      <c r="P58" s="268" t="str">
        <f t="shared" si="14"/>
        <v xml:space="preserve"> </v>
      </c>
      <c r="Q58" s="266">
        <f t="shared" si="10"/>
        <v>810.07</v>
      </c>
      <c r="R58" s="266" t="str">
        <f t="shared" si="9"/>
        <v xml:space="preserve"> </v>
      </c>
      <c r="S58" s="266"/>
      <c r="T58" s="266"/>
      <c r="U58" s="266" t="str">
        <f t="shared" si="1"/>
        <v xml:space="preserve"> </v>
      </c>
      <c r="V58" s="266"/>
      <c r="W58" s="266"/>
      <c r="X58" s="266"/>
      <c r="Y58" s="266"/>
      <c r="Z58" s="266" t="str">
        <f t="shared" si="16"/>
        <v xml:space="preserve"> </v>
      </c>
      <c r="AA58" s="266"/>
      <c r="AB58" s="266"/>
      <c r="AC58" s="266"/>
      <c r="AD58" s="266"/>
      <c r="AE58" s="266"/>
      <c r="AF58" s="266"/>
      <c r="AG58" s="289"/>
      <c r="AH58" s="266"/>
      <c r="AI58" s="266"/>
      <c r="AJ58" s="266"/>
      <c r="AK58" s="266"/>
      <c r="AL58" s="266"/>
      <c r="AM58" s="266"/>
      <c r="AN58" s="266"/>
      <c r="AO58" s="266"/>
      <c r="AP58" s="266"/>
      <c r="AQ58" s="266"/>
      <c r="AR58" s="278" t="str">
        <f t="shared" si="15"/>
        <v xml:space="preserve"> </v>
      </c>
      <c r="AS58" s="266"/>
      <c r="AT58" s="276">
        <f t="shared" si="12"/>
        <v>0</v>
      </c>
    </row>
    <row r="59" spans="1:46">
      <c r="A59" s="258">
        <v>45309</v>
      </c>
      <c r="B59" s="257">
        <v>0.35625000000000001</v>
      </c>
      <c r="C59" s="255" t="s">
        <v>249</v>
      </c>
      <c r="E59" s="255" t="s">
        <v>250</v>
      </c>
      <c r="F59" s="256">
        <v>-96.96</v>
      </c>
      <c r="G59" s="256">
        <v>832.07</v>
      </c>
      <c r="H59" s="267">
        <f t="shared" si="13"/>
        <v>0</v>
      </c>
      <c r="I59" s="278"/>
      <c r="J59" s="266"/>
      <c r="K59" s="266"/>
      <c r="L59" s="266"/>
      <c r="M59" s="266" t="str">
        <f t="shared" si="11"/>
        <v xml:space="preserve"> </v>
      </c>
      <c r="N59" s="266"/>
      <c r="O59" s="278"/>
      <c r="P59" s="268" t="str">
        <f t="shared" si="14"/>
        <v xml:space="preserve"> </v>
      </c>
      <c r="Q59" s="266" t="str">
        <f t="shared" si="10"/>
        <v xml:space="preserve"> </v>
      </c>
      <c r="R59" s="266" t="str">
        <f t="shared" si="9"/>
        <v xml:space="preserve"> </v>
      </c>
      <c r="S59" s="266"/>
      <c r="T59" s="266"/>
      <c r="U59" s="266" t="str">
        <f t="shared" si="1"/>
        <v xml:space="preserve"> </v>
      </c>
      <c r="V59" s="266"/>
      <c r="W59" s="266"/>
      <c r="X59" s="266"/>
      <c r="Y59" s="266"/>
      <c r="Z59" s="266">
        <f t="shared" si="16"/>
        <v>96.96</v>
      </c>
      <c r="AA59" s="266"/>
      <c r="AB59" s="266"/>
      <c r="AC59" s="266"/>
      <c r="AD59" s="266"/>
      <c r="AE59" s="266"/>
      <c r="AF59" s="266"/>
      <c r="AG59" s="289"/>
      <c r="AH59" s="266"/>
      <c r="AI59" s="266"/>
      <c r="AJ59" s="266"/>
      <c r="AK59" s="266"/>
      <c r="AL59" s="266"/>
      <c r="AM59" s="266"/>
      <c r="AN59" s="266"/>
      <c r="AO59" s="266"/>
      <c r="AP59" s="266"/>
      <c r="AQ59" s="266"/>
      <c r="AR59" s="278" t="str">
        <f t="shared" si="15"/>
        <v xml:space="preserve"> </v>
      </c>
      <c r="AS59" s="266"/>
      <c r="AT59" s="276">
        <f t="shared" si="12"/>
        <v>0</v>
      </c>
    </row>
    <row r="60" spans="1:46">
      <c r="A60" s="258">
        <v>45310</v>
      </c>
      <c r="B60" s="257">
        <v>0.26597222222222222</v>
      </c>
      <c r="C60" s="255" t="s">
        <v>295</v>
      </c>
      <c r="E60" s="264">
        <v>673116000000</v>
      </c>
      <c r="F60" s="256">
        <v>-572.14</v>
      </c>
      <c r="G60" s="256">
        <v>259.93</v>
      </c>
      <c r="H60" s="267">
        <f t="shared" si="13"/>
        <v>0</v>
      </c>
      <c r="I60" s="278"/>
      <c r="J60" s="266"/>
      <c r="K60" s="266"/>
      <c r="L60" s="266"/>
      <c r="M60" s="266" t="str">
        <f t="shared" si="11"/>
        <v xml:space="preserve"> </v>
      </c>
      <c r="N60" s="266"/>
      <c r="O60" s="278"/>
      <c r="P60" s="268" t="str">
        <f t="shared" si="14"/>
        <v xml:space="preserve"> </v>
      </c>
      <c r="Q60" s="266" t="str">
        <f t="shared" si="10"/>
        <v xml:space="preserve"> </v>
      </c>
      <c r="R60" s="266" t="str">
        <f t="shared" si="9"/>
        <v xml:space="preserve"> </v>
      </c>
      <c r="S60" s="266"/>
      <c r="T60" s="266"/>
      <c r="U60" s="266" t="str">
        <f t="shared" si="1"/>
        <v xml:space="preserve"> </v>
      </c>
      <c r="V60" s="266"/>
      <c r="W60" s="266"/>
      <c r="X60" s="266"/>
      <c r="Y60" s="266"/>
      <c r="Z60" s="266" t="str">
        <f t="shared" si="16"/>
        <v xml:space="preserve"> </v>
      </c>
      <c r="AA60" s="266"/>
      <c r="AB60" s="266"/>
      <c r="AC60" s="266"/>
      <c r="AD60" s="266"/>
      <c r="AE60" s="266"/>
      <c r="AF60" s="266"/>
      <c r="AG60" s="289"/>
      <c r="AH60" s="266"/>
      <c r="AI60" s="266"/>
      <c r="AJ60" s="266"/>
      <c r="AK60" s="266"/>
      <c r="AL60" s="266"/>
      <c r="AM60" s="266"/>
      <c r="AN60" s="266">
        <f>-F60</f>
        <v>572.14</v>
      </c>
      <c r="AO60" s="266"/>
      <c r="AP60" s="266"/>
      <c r="AQ60" s="266"/>
      <c r="AR60" s="278" t="str">
        <f t="shared" si="15"/>
        <v xml:space="preserve"> </v>
      </c>
      <c r="AS60" s="266"/>
      <c r="AT60" s="276">
        <f t="shared" si="12"/>
        <v>0</v>
      </c>
    </row>
    <row r="61" spans="1:46">
      <c r="A61" s="258">
        <v>45337</v>
      </c>
      <c r="B61" s="257">
        <v>0.27291666666666664</v>
      </c>
      <c r="C61" s="255" t="s">
        <v>242</v>
      </c>
      <c r="D61" s="255">
        <v>1</v>
      </c>
      <c r="F61" s="256">
        <v>8000</v>
      </c>
      <c r="G61" s="256">
        <v>8259.93</v>
      </c>
      <c r="H61" s="267">
        <f t="shared" si="13"/>
        <v>0</v>
      </c>
      <c r="I61" s="278"/>
      <c r="J61" s="266"/>
      <c r="K61" s="266"/>
      <c r="L61" s="266"/>
      <c r="M61" s="266" t="str">
        <f t="shared" si="11"/>
        <v xml:space="preserve"> </v>
      </c>
      <c r="N61" s="266"/>
      <c r="O61" s="278"/>
      <c r="P61" s="268" t="str">
        <f t="shared" si="14"/>
        <v xml:space="preserve"> </v>
      </c>
      <c r="Q61" s="266" t="str">
        <f t="shared" si="10"/>
        <v xml:space="preserve"> </v>
      </c>
      <c r="R61" s="266" t="str">
        <f t="shared" si="9"/>
        <v xml:space="preserve"> </v>
      </c>
      <c r="S61" s="266"/>
      <c r="T61" s="266"/>
      <c r="U61" s="266" t="str">
        <f t="shared" si="1"/>
        <v xml:space="preserve"> </v>
      </c>
      <c r="V61" s="266"/>
      <c r="W61" s="266"/>
      <c r="X61" s="266"/>
      <c r="Y61" s="266"/>
      <c r="Z61" s="266" t="str">
        <f t="shared" si="16"/>
        <v xml:space="preserve"> </v>
      </c>
      <c r="AA61" s="266"/>
      <c r="AB61" s="266"/>
      <c r="AC61" s="266"/>
      <c r="AD61" s="266"/>
      <c r="AE61" s="266"/>
      <c r="AF61" s="266"/>
      <c r="AG61" s="289"/>
      <c r="AH61" s="266"/>
      <c r="AI61" s="266"/>
      <c r="AJ61" s="266"/>
      <c r="AK61" s="266"/>
      <c r="AL61" s="266"/>
      <c r="AM61" s="266"/>
      <c r="AN61" s="266"/>
      <c r="AO61" s="266"/>
      <c r="AP61" s="266"/>
      <c r="AQ61" s="266"/>
      <c r="AR61" s="278" t="str">
        <f t="shared" si="15"/>
        <v xml:space="preserve"> </v>
      </c>
      <c r="AS61" s="266">
        <f>F61</f>
        <v>8000</v>
      </c>
      <c r="AT61" s="276">
        <f t="shared" si="12"/>
        <v>0</v>
      </c>
    </row>
    <row r="62" spans="1:46">
      <c r="A62" s="258">
        <v>45338</v>
      </c>
      <c r="B62" s="257">
        <v>0.26458333333333334</v>
      </c>
      <c r="C62" s="255" t="s">
        <v>310</v>
      </c>
      <c r="E62" s="255" t="s">
        <v>311</v>
      </c>
      <c r="F62" s="256">
        <v>-121.8</v>
      </c>
      <c r="G62" s="256">
        <v>8138.13</v>
      </c>
      <c r="H62" s="267">
        <f t="shared" si="13"/>
        <v>0</v>
      </c>
      <c r="I62" s="278"/>
      <c r="J62" s="266"/>
      <c r="K62" s="266"/>
      <c r="L62" s="266"/>
      <c r="M62" s="266" t="str">
        <f t="shared" si="11"/>
        <v xml:space="preserve"> </v>
      </c>
      <c r="N62" s="266"/>
      <c r="O62" s="278"/>
      <c r="P62" s="268" t="str">
        <f t="shared" si="14"/>
        <v xml:space="preserve"> </v>
      </c>
      <c r="Q62" s="266" t="str">
        <f t="shared" si="10"/>
        <v xml:space="preserve"> </v>
      </c>
      <c r="R62" s="266" t="str">
        <f t="shared" si="9"/>
        <v xml:space="preserve"> </v>
      </c>
      <c r="S62" s="266"/>
      <c r="T62" s="266"/>
      <c r="U62" s="266" t="str">
        <f t="shared" si="1"/>
        <v xml:space="preserve"> </v>
      </c>
      <c r="V62" s="266"/>
      <c r="W62" s="266"/>
      <c r="X62" s="266"/>
      <c r="Y62" s="266"/>
      <c r="Z62" s="266" t="str">
        <f t="shared" si="16"/>
        <v xml:space="preserve"> </v>
      </c>
      <c r="AA62" s="266"/>
      <c r="AB62" s="266"/>
      <c r="AC62" s="266"/>
      <c r="AD62" s="266"/>
      <c r="AE62" s="266"/>
      <c r="AF62" s="266"/>
      <c r="AG62" s="289">
        <f>-F62</f>
        <v>121.8</v>
      </c>
      <c r="AH62" s="266"/>
      <c r="AI62" s="266"/>
      <c r="AJ62" s="266"/>
      <c r="AK62" s="266"/>
      <c r="AL62" s="266"/>
      <c r="AM62" s="266"/>
      <c r="AN62" s="266"/>
      <c r="AO62" s="266"/>
      <c r="AP62" s="266"/>
      <c r="AQ62" s="266"/>
      <c r="AR62" s="278" t="str">
        <f t="shared" si="15"/>
        <v xml:space="preserve"> </v>
      </c>
      <c r="AS62" s="266"/>
      <c r="AT62" s="276">
        <f t="shared" si="12"/>
        <v>0</v>
      </c>
    </row>
    <row r="63" spans="1:46">
      <c r="A63" s="258">
        <v>45338</v>
      </c>
      <c r="B63" s="257">
        <v>0.26597222222222222</v>
      </c>
      <c r="C63" s="255" t="s">
        <v>312</v>
      </c>
      <c r="E63" s="255" t="s">
        <v>311</v>
      </c>
      <c r="F63" s="256">
        <v>-82.1</v>
      </c>
      <c r="G63" s="256">
        <v>8056.03</v>
      </c>
      <c r="H63" s="267">
        <f t="shared" si="13"/>
        <v>0</v>
      </c>
      <c r="I63" s="278"/>
      <c r="J63" s="266"/>
      <c r="K63" s="266"/>
      <c r="L63" s="266"/>
      <c r="M63" s="266" t="str">
        <f t="shared" si="11"/>
        <v xml:space="preserve"> </v>
      </c>
      <c r="N63" s="266"/>
      <c r="O63" s="278"/>
      <c r="P63" s="268" t="str">
        <f t="shared" si="14"/>
        <v xml:space="preserve"> </v>
      </c>
      <c r="Q63" s="266" t="str">
        <f t="shared" si="10"/>
        <v xml:space="preserve"> </v>
      </c>
      <c r="R63" s="266" t="str">
        <f t="shared" si="9"/>
        <v xml:space="preserve"> </v>
      </c>
      <c r="S63" s="266"/>
      <c r="T63" s="266"/>
      <c r="U63" s="266" t="str">
        <f t="shared" si="1"/>
        <v xml:space="preserve"> </v>
      </c>
      <c r="V63" s="266"/>
      <c r="W63" s="266"/>
      <c r="X63" s="266"/>
      <c r="Y63" s="266"/>
      <c r="Z63" s="266" t="str">
        <f t="shared" si="16"/>
        <v xml:space="preserve"> </v>
      </c>
      <c r="AA63" s="266"/>
      <c r="AB63" s="266"/>
      <c r="AC63" s="266"/>
      <c r="AD63" s="266"/>
      <c r="AE63" s="266"/>
      <c r="AF63" s="266"/>
      <c r="AG63" s="289">
        <f>-F63</f>
        <v>82.1</v>
      </c>
      <c r="AH63" s="266"/>
      <c r="AI63" s="266"/>
      <c r="AJ63" s="266"/>
      <c r="AK63" s="266"/>
      <c r="AL63" s="266"/>
      <c r="AM63" s="266"/>
      <c r="AN63" s="266"/>
      <c r="AO63" s="266"/>
      <c r="AP63" s="266"/>
      <c r="AQ63" s="266"/>
      <c r="AR63" s="278" t="str">
        <f t="shared" si="15"/>
        <v xml:space="preserve"> </v>
      </c>
      <c r="AS63" s="266"/>
      <c r="AT63" s="276">
        <f t="shared" si="12"/>
        <v>0</v>
      </c>
    </row>
    <row r="64" spans="1:46">
      <c r="A64" s="258">
        <v>45341</v>
      </c>
      <c r="B64" s="257">
        <v>0.26874999999999999</v>
      </c>
      <c r="C64" s="255" t="s">
        <v>313</v>
      </c>
      <c r="E64" s="255" t="s">
        <v>314</v>
      </c>
      <c r="F64" s="256">
        <v>-187.97</v>
      </c>
      <c r="G64" s="256">
        <v>7868.06</v>
      </c>
      <c r="H64" s="267">
        <f t="shared" si="13"/>
        <v>0</v>
      </c>
      <c r="I64" s="278"/>
      <c r="J64" s="266"/>
      <c r="K64" s="266"/>
      <c r="L64" s="266"/>
      <c r="M64" s="266" t="str">
        <f t="shared" si="11"/>
        <v xml:space="preserve"> </v>
      </c>
      <c r="N64" s="266"/>
      <c r="O64" s="278"/>
      <c r="P64" s="268" t="str">
        <f t="shared" si="14"/>
        <v xml:space="preserve"> </v>
      </c>
      <c r="Q64" s="266" t="str">
        <f t="shared" si="10"/>
        <v xml:space="preserve"> </v>
      </c>
      <c r="R64" s="266" t="str">
        <f t="shared" si="9"/>
        <v xml:space="preserve"> </v>
      </c>
      <c r="S64" s="266"/>
      <c r="T64" s="266"/>
      <c r="U64" s="266" t="str">
        <f t="shared" si="1"/>
        <v xml:space="preserve"> </v>
      </c>
      <c r="V64" s="266"/>
      <c r="W64" s="266"/>
      <c r="X64" s="266"/>
      <c r="Y64" s="266">
        <f>-F64</f>
        <v>187.97</v>
      </c>
      <c r="Z64" s="266" t="str">
        <f t="shared" si="16"/>
        <v xml:space="preserve"> </v>
      </c>
      <c r="AA64" s="266"/>
      <c r="AB64" s="266"/>
      <c r="AC64" s="266"/>
      <c r="AD64" s="266"/>
      <c r="AE64" s="266"/>
      <c r="AF64" s="266"/>
      <c r="AG64" s="289"/>
      <c r="AH64" s="266"/>
      <c r="AI64" s="266"/>
      <c r="AJ64" s="266"/>
      <c r="AK64" s="266"/>
      <c r="AL64" s="266"/>
      <c r="AM64" s="266"/>
      <c r="AN64" s="266"/>
      <c r="AO64" s="266"/>
      <c r="AP64" s="266"/>
      <c r="AQ64" s="266"/>
      <c r="AR64" s="278" t="str">
        <f t="shared" si="15"/>
        <v xml:space="preserve"> </v>
      </c>
      <c r="AS64" s="266"/>
      <c r="AT64" s="276">
        <f t="shared" si="12"/>
        <v>0</v>
      </c>
    </row>
    <row r="65" spans="1:46">
      <c r="A65" s="258">
        <v>45341</v>
      </c>
      <c r="B65" s="257">
        <v>0.26874999999999999</v>
      </c>
      <c r="C65" s="255" t="s">
        <v>249</v>
      </c>
      <c r="E65" s="255" t="s">
        <v>315</v>
      </c>
      <c r="F65" s="256">
        <v>-310</v>
      </c>
      <c r="G65" s="256">
        <v>7558.06</v>
      </c>
      <c r="H65" s="267">
        <f t="shared" si="13"/>
        <v>0</v>
      </c>
      <c r="I65" s="278"/>
      <c r="J65" s="266"/>
      <c r="K65" s="266"/>
      <c r="L65" s="266"/>
      <c r="M65" s="266" t="str">
        <f t="shared" si="11"/>
        <v xml:space="preserve"> </v>
      </c>
      <c r="N65" s="266"/>
      <c r="O65" s="278"/>
      <c r="P65" s="268" t="str">
        <f t="shared" si="14"/>
        <v xml:space="preserve"> </v>
      </c>
      <c r="Q65" s="266" t="str">
        <f t="shared" si="10"/>
        <v xml:space="preserve"> </v>
      </c>
      <c r="R65" s="266" t="str">
        <f t="shared" si="9"/>
        <v xml:space="preserve"> </v>
      </c>
      <c r="S65" s="266"/>
      <c r="T65" s="266"/>
      <c r="U65" s="266" t="str">
        <f t="shared" si="1"/>
        <v xml:space="preserve"> </v>
      </c>
      <c r="V65" s="266"/>
      <c r="W65" s="266"/>
      <c r="X65" s="266"/>
      <c r="Y65" s="266"/>
      <c r="Z65" s="266">
        <f t="shared" si="16"/>
        <v>310</v>
      </c>
      <c r="AA65" s="266"/>
      <c r="AB65" s="266"/>
      <c r="AC65" s="266"/>
      <c r="AD65" s="266"/>
      <c r="AE65" s="266"/>
      <c r="AF65" s="266"/>
      <c r="AG65" s="289"/>
      <c r="AH65" s="266"/>
      <c r="AI65" s="266"/>
      <c r="AJ65" s="266"/>
      <c r="AK65" s="266"/>
      <c r="AL65" s="266"/>
      <c r="AM65" s="266"/>
      <c r="AN65" s="266"/>
      <c r="AO65" s="266"/>
      <c r="AP65" s="266"/>
      <c r="AQ65" s="266"/>
      <c r="AR65" s="278" t="str">
        <f t="shared" si="15"/>
        <v xml:space="preserve"> </v>
      </c>
      <c r="AS65" s="266"/>
      <c r="AT65" s="276">
        <f t="shared" si="12"/>
        <v>0</v>
      </c>
    </row>
    <row r="66" spans="1:46">
      <c r="A66" s="258">
        <v>45341</v>
      </c>
      <c r="B66" s="257">
        <v>0.26944444444444443</v>
      </c>
      <c r="C66" s="255" t="s">
        <v>247</v>
      </c>
      <c r="E66" s="255" t="s">
        <v>248</v>
      </c>
      <c r="F66" s="256">
        <v>-810.07</v>
      </c>
      <c r="G66" s="256">
        <v>6747.99</v>
      </c>
      <c r="H66" s="267">
        <f t="shared" si="13"/>
        <v>0</v>
      </c>
      <c r="I66" s="278"/>
      <c r="J66" s="266"/>
      <c r="K66" s="266"/>
      <c r="L66" s="266"/>
      <c r="M66" s="266" t="str">
        <f t="shared" si="11"/>
        <v xml:space="preserve"> </v>
      </c>
      <c r="N66" s="266"/>
      <c r="O66" s="278"/>
      <c r="P66" s="268" t="str">
        <f t="shared" si="14"/>
        <v xml:space="preserve"> </v>
      </c>
      <c r="Q66" s="266">
        <f t="shared" si="10"/>
        <v>810.07</v>
      </c>
      <c r="R66" s="266" t="str">
        <f t="shared" si="9"/>
        <v xml:space="preserve"> </v>
      </c>
      <c r="S66" s="266"/>
      <c r="T66" s="266"/>
      <c r="U66" s="266" t="str">
        <f t="shared" si="1"/>
        <v xml:space="preserve"> </v>
      </c>
      <c r="V66" s="266"/>
      <c r="W66" s="266"/>
      <c r="X66" s="266"/>
      <c r="Y66" s="266"/>
      <c r="Z66" s="266" t="str">
        <f t="shared" si="16"/>
        <v xml:space="preserve"> </v>
      </c>
      <c r="AA66" s="266"/>
      <c r="AB66" s="266"/>
      <c r="AC66" s="266"/>
      <c r="AD66" s="266"/>
      <c r="AE66" s="266"/>
      <c r="AF66" s="266"/>
      <c r="AG66" s="289"/>
      <c r="AH66" s="266"/>
      <c r="AI66" s="266"/>
      <c r="AJ66" s="266"/>
      <c r="AK66" s="266"/>
      <c r="AL66" s="266"/>
      <c r="AM66" s="266"/>
      <c r="AN66" s="266"/>
      <c r="AO66" s="266"/>
      <c r="AP66" s="266"/>
      <c r="AQ66" s="266"/>
      <c r="AR66" s="278" t="str">
        <f t="shared" si="15"/>
        <v xml:space="preserve"> </v>
      </c>
      <c r="AS66" s="266"/>
      <c r="AT66" s="276">
        <f t="shared" si="12"/>
        <v>0</v>
      </c>
    </row>
    <row r="67" spans="1:46">
      <c r="A67" s="258">
        <v>45341</v>
      </c>
      <c r="B67" s="257">
        <v>0.26944444444444443</v>
      </c>
      <c r="C67" s="255" t="s">
        <v>251</v>
      </c>
      <c r="E67" s="255" t="s">
        <v>316</v>
      </c>
      <c r="F67" s="256">
        <v>-76.16</v>
      </c>
      <c r="G67" s="256">
        <v>6671.83</v>
      </c>
      <c r="H67" s="267">
        <f t="shared" si="13"/>
        <v>0</v>
      </c>
      <c r="I67" s="278"/>
      <c r="J67" s="266"/>
      <c r="K67" s="266"/>
      <c r="L67" s="266"/>
      <c r="M67" s="266" t="str">
        <f t="shared" si="11"/>
        <v xml:space="preserve"> </v>
      </c>
      <c r="N67" s="266"/>
      <c r="O67" s="278"/>
      <c r="P67" s="268" t="str">
        <f t="shared" si="14"/>
        <v xml:space="preserve"> </v>
      </c>
      <c r="Q67" s="266" t="str">
        <f t="shared" si="10"/>
        <v xml:space="preserve"> </v>
      </c>
      <c r="R67" s="266" t="str">
        <f t="shared" si="9"/>
        <v xml:space="preserve"> </v>
      </c>
      <c r="S67" s="266"/>
      <c r="T67" s="266"/>
      <c r="U67" s="266">
        <f t="shared" si="1"/>
        <v>76.16</v>
      </c>
      <c r="V67" s="266"/>
      <c r="W67" s="266"/>
      <c r="X67" s="266"/>
      <c r="Y67" s="266"/>
      <c r="Z67" s="266" t="str">
        <f t="shared" si="16"/>
        <v xml:space="preserve"> </v>
      </c>
      <c r="AA67" s="266"/>
      <c r="AB67" s="266"/>
      <c r="AC67" s="266"/>
      <c r="AD67" s="266"/>
      <c r="AE67" s="266"/>
      <c r="AF67" s="266"/>
      <c r="AG67" s="289"/>
      <c r="AH67" s="266"/>
      <c r="AI67" s="266"/>
      <c r="AJ67" s="266"/>
      <c r="AK67" s="266"/>
      <c r="AL67" s="266"/>
      <c r="AM67" s="266"/>
      <c r="AN67" s="266"/>
      <c r="AO67" s="266"/>
      <c r="AP67" s="266"/>
      <c r="AQ67" s="266"/>
      <c r="AR67" s="278" t="str">
        <f t="shared" si="15"/>
        <v xml:space="preserve"> </v>
      </c>
      <c r="AS67" s="266"/>
      <c r="AT67" s="276">
        <f t="shared" si="12"/>
        <v>0</v>
      </c>
    </row>
    <row r="68" spans="1:46">
      <c r="A68" s="258">
        <v>45352</v>
      </c>
      <c r="B68" s="257">
        <v>0.40138888888888891</v>
      </c>
      <c r="C68" s="255" t="s">
        <v>249</v>
      </c>
      <c r="E68" s="255" t="s">
        <v>317</v>
      </c>
      <c r="F68" s="256">
        <v>-260</v>
      </c>
      <c r="G68" s="256">
        <v>6411.83</v>
      </c>
      <c r="H68" s="267">
        <f t="shared" si="13"/>
        <v>0</v>
      </c>
      <c r="I68" s="278"/>
      <c r="J68" s="266"/>
      <c r="K68" s="266"/>
      <c r="L68" s="266"/>
      <c r="M68" s="266" t="str">
        <f t="shared" si="11"/>
        <v xml:space="preserve"> </v>
      </c>
      <c r="N68" s="266"/>
      <c r="O68" s="278"/>
      <c r="P68" s="268" t="str">
        <f t="shared" si="14"/>
        <v xml:space="preserve"> </v>
      </c>
      <c r="Q68" s="266" t="str">
        <f t="shared" si="10"/>
        <v xml:space="preserve"> </v>
      </c>
      <c r="R68" s="266" t="str">
        <f t="shared" si="9"/>
        <v xml:space="preserve"> </v>
      </c>
      <c r="S68" s="266"/>
      <c r="T68" s="266"/>
      <c r="U68" s="266" t="str">
        <f t="shared" si="1"/>
        <v xml:space="preserve"> </v>
      </c>
      <c r="V68" s="266"/>
      <c r="W68" s="266"/>
      <c r="X68" s="266"/>
      <c r="Y68" s="266"/>
      <c r="Z68" s="266">
        <f t="shared" si="16"/>
        <v>260</v>
      </c>
      <c r="AA68" s="266"/>
      <c r="AB68" s="266"/>
      <c r="AC68" s="266"/>
      <c r="AD68" s="266"/>
      <c r="AE68" s="266"/>
      <c r="AF68" s="266"/>
      <c r="AG68" s="289"/>
      <c r="AH68" s="266"/>
      <c r="AI68" s="266"/>
      <c r="AJ68" s="266"/>
      <c r="AK68" s="266"/>
      <c r="AL68" s="266"/>
      <c r="AM68" s="266"/>
      <c r="AN68" s="266"/>
      <c r="AO68" s="266"/>
      <c r="AP68" s="266"/>
      <c r="AQ68" s="266"/>
      <c r="AR68" s="278" t="str">
        <f t="shared" si="15"/>
        <v xml:space="preserve"> </v>
      </c>
      <c r="AS68" s="266"/>
      <c r="AT68" s="276">
        <f t="shared" si="12"/>
        <v>0</v>
      </c>
    </row>
    <row r="69" spans="1:46">
      <c r="A69" s="258">
        <v>45369</v>
      </c>
      <c r="B69" s="257">
        <v>0.27013888888888887</v>
      </c>
      <c r="C69" s="255" t="s">
        <v>318</v>
      </c>
      <c r="E69" s="255" t="s">
        <v>311</v>
      </c>
      <c r="F69" s="256">
        <v>-2000</v>
      </c>
      <c r="G69" s="256">
        <v>4411.83</v>
      </c>
      <c r="H69" s="267">
        <f t="shared" si="13"/>
        <v>0</v>
      </c>
      <c r="I69" s="278"/>
      <c r="J69" s="266"/>
      <c r="K69" s="266"/>
      <c r="L69" s="266"/>
      <c r="M69" s="266" t="str">
        <f t="shared" si="11"/>
        <v xml:space="preserve"> </v>
      </c>
      <c r="N69" s="266"/>
      <c r="O69" s="278"/>
      <c r="P69" s="268" t="str">
        <f t="shared" si="14"/>
        <v xml:space="preserve"> </v>
      </c>
      <c r="Q69" s="266" t="str">
        <f t="shared" si="10"/>
        <v xml:space="preserve"> </v>
      </c>
      <c r="R69" s="266" t="str">
        <f t="shared" si="9"/>
        <v xml:space="preserve"> </v>
      </c>
      <c r="S69" s="266"/>
      <c r="T69" s="266"/>
      <c r="U69" s="266" t="str">
        <f t="shared" si="1"/>
        <v xml:space="preserve"> </v>
      </c>
      <c r="V69" s="266"/>
      <c r="W69" s="266"/>
      <c r="X69" s="266"/>
      <c r="Y69" s="266"/>
      <c r="Z69" s="266" t="str">
        <f t="shared" si="16"/>
        <v xml:space="preserve"> </v>
      </c>
      <c r="AA69" s="266"/>
      <c r="AB69" s="266"/>
      <c r="AC69" s="266"/>
      <c r="AD69" s="266"/>
      <c r="AE69" s="266"/>
      <c r="AF69" s="266"/>
      <c r="AG69" s="289"/>
      <c r="AH69" s="266"/>
      <c r="AI69" s="266">
        <f>-F69</f>
        <v>2000</v>
      </c>
      <c r="AJ69" s="266"/>
      <c r="AK69" s="266"/>
      <c r="AL69" s="266"/>
      <c r="AM69" s="266"/>
      <c r="AN69" s="266"/>
      <c r="AO69" s="266"/>
      <c r="AP69" s="266"/>
      <c r="AQ69" s="266"/>
      <c r="AR69" s="278" t="str">
        <f t="shared" si="15"/>
        <v xml:space="preserve"> </v>
      </c>
      <c r="AS69" s="266"/>
      <c r="AT69" s="276">
        <f t="shared" si="12"/>
        <v>0</v>
      </c>
    </row>
    <row r="70" spans="1:46">
      <c r="A70" s="258">
        <v>45369</v>
      </c>
      <c r="B70" s="257">
        <v>0.27083333333333331</v>
      </c>
      <c r="C70" s="255" t="s">
        <v>319</v>
      </c>
      <c r="E70" s="255" t="s">
        <v>320</v>
      </c>
      <c r="F70" s="256">
        <v>-43</v>
      </c>
      <c r="G70" s="256">
        <v>4368.83</v>
      </c>
      <c r="H70" s="267">
        <f t="shared" si="13"/>
        <v>0</v>
      </c>
      <c r="I70" s="278"/>
      <c r="J70" s="266"/>
      <c r="K70" s="266"/>
      <c r="L70" s="266"/>
      <c r="M70" s="266" t="str">
        <f t="shared" si="11"/>
        <v xml:space="preserve"> </v>
      </c>
      <c r="N70" s="266"/>
      <c r="O70" s="278"/>
      <c r="P70" s="268" t="str">
        <f t="shared" si="14"/>
        <v xml:space="preserve"> </v>
      </c>
      <c r="Q70" s="266" t="str">
        <f t="shared" si="10"/>
        <v xml:space="preserve"> </v>
      </c>
      <c r="R70" s="266" t="str">
        <f t="shared" si="9"/>
        <v xml:space="preserve"> </v>
      </c>
      <c r="S70" s="266"/>
      <c r="T70" s="266"/>
      <c r="U70" s="266" t="str">
        <f t="shared" ref="U70:U78" si="17">IF(ISNUMBER(FIND("hh",LOWER(E70))),-F70," ")</f>
        <v xml:space="preserve"> </v>
      </c>
      <c r="V70" s="266"/>
      <c r="W70" s="266"/>
      <c r="X70" s="266"/>
      <c r="Y70" s="266"/>
      <c r="Z70" s="266" t="str">
        <f t="shared" si="16"/>
        <v xml:space="preserve"> </v>
      </c>
      <c r="AA70" s="266"/>
      <c r="AB70" s="266"/>
      <c r="AC70" s="266"/>
      <c r="AD70" s="266"/>
      <c r="AE70" s="266"/>
      <c r="AF70" s="266"/>
      <c r="AG70" s="289"/>
      <c r="AH70" s="266"/>
      <c r="AI70" s="266"/>
      <c r="AJ70" s="266"/>
      <c r="AK70" s="266"/>
      <c r="AL70" s="266"/>
      <c r="AM70" s="266"/>
      <c r="AN70" s="266"/>
      <c r="AO70" s="266"/>
      <c r="AP70" s="266">
        <f>-F70</f>
        <v>43</v>
      </c>
      <c r="AQ70" s="266"/>
      <c r="AR70" s="278" t="str">
        <f t="shared" si="15"/>
        <v xml:space="preserve"> </v>
      </c>
      <c r="AS70" s="266"/>
      <c r="AT70" s="276">
        <f t="shared" ref="AT70:AT79" si="18">SUM(I70:O70,AS70)-SUM(P70:AR70)-F70</f>
        <v>0</v>
      </c>
    </row>
    <row r="71" spans="1:46">
      <c r="A71" s="258">
        <v>45369</v>
      </c>
      <c r="B71" s="257">
        <v>0.27083333333333331</v>
      </c>
      <c r="C71" s="255" t="s">
        <v>251</v>
      </c>
      <c r="E71" s="255" t="s">
        <v>321</v>
      </c>
      <c r="F71" s="256">
        <v>-76.16</v>
      </c>
      <c r="G71" s="256">
        <v>4292.67</v>
      </c>
      <c r="H71" s="267">
        <f t="shared" ref="H71:H78" si="19">G70+F71-G71</f>
        <v>0</v>
      </c>
      <c r="I71" s="278"/>
      <c r="J71" s="266"/>
      <c r="K71" s="266"/>
      <c r="L71" s="266"/>
      <c r="M71" s="266" t="str">
        <f t="shared" si="11"/>
        <v xml:space="preserve"> </v>
      </c>
      <c r="N71" s="266"/>
      <c r="O71" s="278"/>
      <c r="P71" s="268" t="str">
        <f t="shared" ref="P71:P78" si="20">IF((SUM(I71:O71,Q71:AS71))," ",-F71)</f>
        <v xml:space="preserve"> </v>
      </c>
      <c r="Q71" s="266" t="str">
        <f t="shared" si="10"/>
        <v xml:space="preserve"> </v>
      </c>
      <c r="R71" s="266" t="str">
        <f t="shared" si="9"/>
        <v xml:space="preserve"> </v>
      </c>
      <c r="S71" s="266"/>
      <c r="T71" s="266"/>
      <c r="U71" s="266">
        <f t="shared" si="17"/>
        <v>76.16</v>
      </c>
      <c r="V71" s="266"/>
      <c r="W71" s="266"/>
      <c r="X71" s="266"/>
      <c r="Y71" s="266"/>
      <c r="Z71" s="266" t="str">
        <f t="shared" si="16"/>
        <v xml:space="preserve"> </v>
      </c>
      <c r="AA71" s="266"/>
      <c r="AB71" s="266"/>
      <c r="AC71" s="266"/>
      <c r="AD71" s="266"/>
      <c r="AE71" s="266"/>
      <c r="AF71" s="266"/>
      <c r="AG71" s="289"/>
      <c r="AH71" s="266"/>
      <c r="AI71" s="266"/>
      <c r="AJ71" s="266"/>
      <c r="AK71" s="266"/>
      <c r="AL71" s="266"/>
      <c r="AM71" s="266"/>
      <c r="AN71" s="266"/>
      <c r="AO71" s="266"/>
      <c r="AP71" s="266"/>
      <c r="AQ71" s="266"/>
      <c r="AR71" s="278" t="str">
        <f t="shared" ref="AR71:AR79" si="21">IF(AND(ISNUMBER(FIND("black",LOWER(E71))),F71&lt;0),-F71," ")</f>
        <v xml:space="preserve"> </v>
      </c>
      <c r="AS71" s="266"/>
      <c r="AT71" s="276">
        <f t="shared" si="18"/>
        <v>0</v>
      </c>
    </row>
    <row r="72" spans="1:46">
      <c r="A72" s="258">
        <v>45369</v>
      </c>
      <c r="B72" s="257">
        <v>0.27152777777777776</v>
      </c>
      <c r="C72" s="255" t="s">
        <v>295</v>
      </c>
      <c r="E72" s="255" t="s">
        <v>296</v>
      </c>
      <c r="F72" s="256">
        <v>-406.44</v>
      </c>
      <c r="G72" s="256">
        <v>3886.23</v>
      </c>
      <c r="H72" s="267">
        <f t="shared" si="19"/>
        <v>0</v>
      </c>
      <c r="I72" s="278"/>
      <c r="J72" s="266"/>
      <c r="K72" s="266"/>
      <c r="L72" s="266"/>
      <c r="M72" s="266" t="str">
        <f t="shared" si="11"/>
        <v xml:space="preserve"> </v>
      </c>
      <c r="N72" s="266"/>
      <c r="O72" s="278"/>
      <c r="P72" s="268" t="str">
        <f t="shared" si="20"/>
        <v xml:space="preserve"> </v>
      </c>
      <c r="Q72" s="266" t="str">
        <f t="shared" si="10"/>
        <v xml:space="preserve"> </v>
      </c>
      <c r="R72" s="266" t="str">
        <f t="shared" ref="R72:R77" si="22">IF(ISNUMBER(FIND("Service Charge",C72)),-F72," ")</f>
        <v xml:space="preserve"> </v>
      </c>
      <c r="S72" s="266"/>
      <c r="T72" s="266"/>
      <c r="U72" s="266" t="str">
        <f t="shared" si="17"/>
        <v xml:space="preserve"> </v>
      </c>
      <c r="V72" s="266"/>
      <c r="W72" s="266"/>
      <c r="X72" s="266"/>
      <c r="Y72" s="266"/>
      <c r="Z72" s="266" t="str">
        <f t="shared" si="16"/>
        <v xml:space="preserve"> </v>
      </c>
      <c r="AA72" s="266"/>
      <c r="AB72" s="266"/>
      <c r="AC72" s="266"/>
      <c r="AD72" s="266"/>
      <c r="AE72" s="266"/>
      <c r="AF72" s="266"/>
      <c r="AG72" s="289"/>
      <c r="AH72" s="266"/>
      <c r="AI72" s="266"/>
      <c r="AJ72" s="266"/>
      <c r="AK72" s="266"/>
      <c r="AL72" s="266"/>
      <c r="AM72" s="266"/>
      <c r="AN72" s="266">
        <f>-F72</f>
        <v>406.44</v>
      </c>
      <c r="AO72" s="266"/>
      <c r="AP72" s="266"/>
      <c r="AQ72" s="266"/>
      <c r="AR72" s="278" t="str">
        <f t="shared" si="21"/>
        <v xml:space="preserve"> </v>
      </c>
      <c r="AS72" s="266"/>
      <c r="AT72" s="276">
        <f t="shared" si="18"/>
        <v>0</v>
      </c>
    </row>
    <row r="73" spans="1:46">
      <c r="A73" s="258">
        <v>45369</v>
      </c>
      <c r="B73" s="257">
        <v>0.27152777777777776</v>
      </c>
      <c r="C73" s="255" t="s">
        <v>322</v>
      </c>
      <c r="E73" s="255" t="s">
        <v>323</v>
      </c>
      <c r="F73" s="256">
        <v>-79.5</v>
      </c>
      <c r="G73" s="256">
        <v>3806.73</v>
      </c>
      <c r="H73" s="267">
        <f t="shared" si="19"/>
        <v>0</v>
      </c>
      <c r="I73" s="278"/>
      <c r="J73" s="266"/>
      <c r="K73" s="266"/>
      <c r="L73" s="266"/>
      <c r="M73" s="266" t="str">
        <f t="shared" si="11"/>
        <v xml:space="preserve"> </v>
      </c>
      <c r="N73" s="266"/>
      <c r="O73" s="278"/>
      <c r="P73" s="268" t="str">
        <f t="shared" si="20"/>
        <v xml:space="preserve"> </v>
      </c>
      <c r="Q73" s="266" t="str">
        <f t="shared" si="10"/>
        <v xml:space="preserve"> </v>
      </c>
      <c r="R73" s="266" t="str">
        <f t="shared" si="22"/>
        <v xml:space="preserve"> </v>
      </c>
      <c r="S73" s="266"/>
      <c r="T73" s="266"/>
      <c r="U73" s="266" t="str">
        <f t="shared" si="17"/>
        <v xml:space="preserve"> </v>
      </c>
      <c r="V73" s="266"/>
      <c r="W73" s="266"/>
      <c r="X73" s="266"/>
      <c r="Y73" s="266"/>
      <c r="Z73" s="266" t="str">
        <f t="shared" si="16"/>
        <v xml:space="preserve"> </v>
      </c>
      <c r="AA73" s="266"/>
      <c r="AB73" s="266"/>
      <c r="AC73" s="266"/>
      <c r="AD73" s="266"/>
      <c r="AE73" s="266"/>
      <c r="AF73" s="266"/>
      <c r="AG73" s="289">
        <f>-F73</f>
        <v>79.5</v>
      </c>
      <c r="AH73" s="266"/>
      <c r="AI73" s="266"/>
      <c r="AJ73" s="266"/>
      <c r="AK73" s="266"/>
      <c r="AL73" s="266"/>
      <c r="AM73" s="266"/>
      <c r="AN73" s="266"/>
      <c r="AO73" s="266"/>
      <c r="AP73" s="266"/>
      <c r="AQ73" s="266"/>
      <c r="AR73" s="278" t="str">
        <f t="shared" si="21"/>
        <v xml:space="preserve"> </v>
      </c>
      <c r="AS73" s="266"/>
      <c r="AT73" s="276">
        <f t="shared" si="18"/>
        <v>0</v>
      </c>
    </row>
    <row r="74" spans="1:46">
      <c r="A74" s="258">
        <v>45369</v>
      </c>
      <c r="B74" s="257">
        <v>0.27152777777777776</v>
      </c>
      <c r="C74" s="255" t="s">
        <v>247</v>
      </c>
      <c r="E74" s="255" t="s">
        <v>324</v>
      </c>
      <c r="F74" s="256">
        <v>-1132.45</v>
      </c>
      <c r="G74" s="256">
        <v>2674.28</v>
      </c>
      <c r="H74" s="267">
        <f t="shared" si="19"/>
        <v>0</v>
      </c>
      <c r="I74" s="278"/>
      <c r="J74" s="266"/>
      <c r="K74" s="266"/>
      <c r="L74" s="266"/>
      <c r="M74" s="266" t="str">
        <f t="shared" si="11"/>
        <v xml:space="preserve"> </v>
      </c>
      <c r="N74" s="266"/>
      <c r="O74" s="278"/>
      <c r="P74" s="268" t="str">
        <f t="shared" si="20"/>
        <v xml:space="preserve"> </v>
      </c>
      <c r="Q74" s="266">
        <f t="shared" si="10"/>
        <v>1132.45</v>
      </c>
      <c r="R74" s="266" t="str">
        <f t="shared" si="22"/>
        <v xml:space="preserve"> </v>
      </c>
      <c r="S74" s="266"/>
      <c r="T74" s="266"/>
      <c r="U74" s="266" t="str">
        <f t="shared" si="17"/>
        <v xml:space="preserve"> </v>
      </c>
      <c r="V74" s="266"/>
      <c r="W74" s="266"/>
      <c r="X74" s="266"/>
      <c r="Y74" s="266"/>
      <c r="Z74" s="266" t="str">
        <f t="shared" si="16"/>
        <v xml:space="preserve"> </v>
      </c>
      <c r="AA74" s="266"/>
      <c r="AB74" s="266"/>
      <c r="AC74" s="266"/>
      <c r="AD74" s="266"/>
      <c r="AE74" s="266"/>
      <c r="AF74" s="266"/>
      <c r="AG74" s="289"/>
      <c r="AH74" s="266"/>
      <c r="AI74" s="266"/>
      <c r="AJ74" s="266"/>
      <c r="AK74" s="266"/>
      <c r="AL74" s="266"/>
      <c r="AM74" s="266"/>
      <c r="AN74" s="266"/>
      <c r="AO74" s="266"/>
      <c r="AP74" s="266"/>
      <c r="AQ74" s="266"/>
      <c r="AR74" s="278" t="str">
        <f t="shared" si="21"/>
        <v xml:space="preserve"> </v>
      </c>
      <c r="AS74" s="266"/>
      <c r="AT74" s="276">
        <f t="shared" si="18"/>
        <v>0</v>
      </c>
    </row>
    <row r="75" spans="1:46">
      <c r="A75" s="258">
        <v>45369</v>
      </c>
      <c r="B75" s="257">
        <v>0.27152777777777776</v>
      </c>
      <c r="C75" s="255" t="s">
        <v>247</v>
      </c>
      <c r="E75" s="255" t="s">
        <v>325</v>
      </c>
      <c r="F75" s="256">
        <v>-810.07</v>
      </c>
      <c r="G75" s="256">
        <v>1864.21</v>
      </c>
      <c r="H75" s="267">
        <f t="shared" si="19"/>
        <v>0</v>
      </c>
      <c r="I75" s="278"/>
      <c r="J75" s="266"/>
      <c r="K75" s="266"/>
      <c r="L75" s="266"/>
      <c r="M75" s="266" t="str">
        <f t="shared" si="11"/>
        <v xml:space="preserve"> </v>
      </c>
      <c r="N75" s="266"/>
      <c r="O75" s="278"/>
      <c r="P75" s="268" t="str">
        <f t="shared" si="20"/>
        <v xml:space="preserve"> </v>
      </c>
      <c r="Q75" s="266">
        <f t="shared" si="10"/>
        <v>810.07</v>
      </c>
      <c r="R75" s="266" t="str">
        <f t="shared" si="22"/>
        <v xml:space="preserve"> </v>
      </c>
      <c r="S75" s="266"/>
      <c r="T75" s="266"/>
      <c r="U75" s="266" t="str">
        <f t="shared" si="17"/>
        <v xml:space="preserve"> </v>
      </c>
      <c r="V75" s="266"/>
      <c r="W75" s="266"/>
      <c r="X75" s="266"/>
      <c r="Y75" s="266"/>
      <c r="Z75" s="266" t="str">
        <f t="shared" si="16"/>
        <v xml:space="preserve"> </v>
      </c>
      <c r="AA75" s="266"/>
      <c r="AB75" s="266"/>
      <c r="AC75" s="266"/>
      <c r="AD75" s="266"/>
      <c r="AE75" s="266"/>
      <c r="AF75" s="266"/>
      <c r="AG75" s="289"/>
      <c r="AH75" s="266"/>
      <c r="AI75" s="266"/>
      <c r="AJ75" s="266"/>
      <c r="AK75" s="266"/>
      <c r="AL75" s="266"/>
      <c r="AM75" s="266"/>
      <c r="AN75" s="266"/>
      <c r="AO75" s="266"/>
      <c r="AP75" s="266"/>
      <c r="AQ75" s="266"/>
      <c r="AR75" s="278" t="str">
        <f t="shared" si="21"/>
        <v xml:space="preserve"> </v>
      </c>
      <c r="AS75" s="266"/>
      <c r="AT75" s="276">
        <f t="shared" si="18"/>
        <v>0</v>
      </c>
    </row>
    <row r="76" spans="1:46">
      <c r="A76" s="258">
        <v>45369</v>
      </c>
      <c r="B76" s="257">
        <v>0.27152777777777776</v>
      </c>
      <c r="C76" s="255" t="s">
        <v>326</v>
      </c>
      <c r="E76" s="255" t="s">
        <v>327</v>
      </c>
      <c r="F76" s="256">
        <v>-348</v>
      </c>
      <c r="G76" s="256">
        <v>1516.21</v>
      </c>
      <c r="H76" s="267">
        <f t="shared" si="19"/>
        <v>0</v>
      </c>
      <c r="I76" s="278"/>
      <c r="J76" s="266"/>
      <c r="K76" s="266"/>
      <c r="L76" s="266"/>
      <c r="M76" s="266" t="str">
        <f t="shared" si="11"/>
        <v xml:space="preserve"> </v>
      </c>
      <c r="N76" s="266"/>
      <c r="O76" s="278"/>
      <c r="P76" s="268" t="str">
        <f t="shared" si="20"/>
        <v xml:space="preserve"> </v>
      </c>
      <c r="Q76" s="266" t="str">
        <f t="shared" si="10"/>
        <v xml:space="preserve"> </v>
      </c>
      <c r="R76" s="266" t="str">
        <f t="shared" si="22"/>
        <v xml:space="preserve"> </v>
      </c>
      <c r="S76" s="266"/>
      <c r="T76" s="266"/>
      <c r="U76" s="266" t="str">
        <f t="shared" si="17"/>
        <v xml:space="preserve"> </v>
      </c>
      <c r="V76" s="266"/>
      <c r="W76" s="266"/>
      <c r="X76" s="266"/>
      <c r="Y76" s="266"/>
      <c r="Z76" s="266" t="str">
        <f t="shared" si="16"/>
        <v xml:space="preserve"> </v>
      </c>
      <c r="AA76" s="266"/>
      <c r="AB76" s="266">
        <f>-F76</f>
        <v>348</v>
      </c>
      <c r="AC76" s="266"/>
      <c r="AD76" s="266"/>
      <c r="AE76" s="266"/>
      <c r="AF76" s="266"/>
      <c r="AG76" s="289"/>
      <c r="AH76" s="266"/>
      <c r="AI76" s="266"/>
      <c r="AJ76" s="266"/>
      <c r="AK76" s="266"/>
      <c r="AL76" s="266"/>
      <c r="AM76" s="266"/>
      <c r="AN76" s="266"/>
      <c r="AO76" s="266"/>
      <c r="AP76" s="266"/>
      <c r="AQ76" s="266"/>
      <c r="AR76" s="278" t="str">
        <f t="shared" si="21"/>
        <v xml:space="preserve"> </v>
      </c>
      <c r="AS76" s="266"/>
      <c r="AT76" s="276">
        <f t="shared" si="18"/>
        <v>0</v>
      </c>
    </row>
    <row r="77" spans="1:46">
      <c r="A77" s="258">
        <v>45379</v>
      </c>
      <c r="B77" s="257">
        <v>0.27291666666666664</v>
      </c>
      <c r="C77" s="255" t="s">
        <v>328</v>
      </c>
      <c r="E77" s="255" t="s">
        <v>329</v>
      </c>
      <c r="F77" s="256">
        <v>-155</v>
      </c>
      <c r="G77" s="256">
        <v>1361.21</v>
      </c>
      <c r="H77" s="267">
        <f t="shared" si="19"/>
        <v>0</v>
      </c>
      <c r="I77" s="278"/>
      <c r="J77" s="266"/>
      <c r="K77" s="266"/>
      <c r="L77" s="266"/>
      <c r="M77" s="266" t="str">
        <f t="shared" si="11"/>
        <v xml:space="preserve"> </v>
      </c>
      <c r="N77" s="266"/>
      <c r="O77" s="278"/>
      <c r="P77" s="268" t="str">
        <f t="shared" si="20"/>
        <v xml:space="preserve"> </v>
      </c>
      <c r="Q77" s="266" t="str">
        <f t="shared" si="10"/>
        <v xml:space="preserve"> </v>
      </c>
      <c r="R77" s="266" t="str">
        <f t="shared" si="22"/>
        <v xml:space="preserve"> </v>
      </c>
      <c r="S77" s="266"/>
      <c r="T77" s="266"/>
      <c r="U77" s="266" t="str">
        <f t="shared" si="17"/>
        <v xml:space="preserve"> </v>
      </c>
      <c r="V77" s="266"/>
      <c r="W77" s="266"/>
      <c r="X77" s="266"/>
      <c r="Y77" s="266"/>
      <c r="Z77" s="266" t="str">
        <f t="shared" si="16"/>
        <v xml:space="preserve"> </v>
      </c>
      <c r="AA77" s="266"/>
      <c r="AB77" s="266">
        <f>-F77</f>
        <v>155</v>
      </c>
      <c r="AC77" s="266"/>
      <c r="AD77" s="266"/>
      <c r="AE77" s="266"/>
      <c r="AF77" s="266"/>
      <c r="AG77" s="289"/>
      <c r="AH77" s="266"/>
      <c r="AI77" s="266"/>
      <c r="AJ77" s="266"/>
      <c r="AK77" s="266"/>
      <c r="AL77" s="266"/>
      <c r="AM77" s="266"/>
      <c r="AN77" s="266"/>
      <c r="AO77" s="266"/>
      <c r="AP77" s="266"/>
      <c r="AQ77" s="266"/>
      <c r="AR77" s="278" t="str">
        <f t="shared" si="21"/>
        <v xml:space="preserve"> </v>
      </c>
      <c r="AS77" s="266"/>
      <c r="AT77" s="276">
        <f t="shared" si="18"/>
        <v>0</v>
      </c>
    </row>
    <row r="78" spans="1:46">
      <c r="A78" s="258">
        <v>45382</v>
      </c>
      <c r="B78" s="257">
        <v>0.79027777777777775</v>
      </c>
      <c r="C78" s="255" t="s">
        <v>239</v>
      </c>
      <c r="F78" s="256">
        <v>-18</v>
      </c>
      <c r="G78" s="256">
        <v>1343.21</v>
      </c>
      <c r="H78" s="267">
        <f t="shared" si="19"/>
        <v>0</v>
      </c>
      <c r="I78" s="278"/>
      <c r="J78" s="266"/>
      <c r="K78" s="266"/>
      <c r="L78" s="266"/>
      <c r="M78" s="266" t="str">
        <f t="shared" si="11"/>
        <v xml:space="preserve"> </v>
      </c>
      <c r="N78" s="266"/>
      <c r="O78" s="278"/>
      <c r="P78" s="268" t="str">
        <f t="shared" si="20"/>
        <v xml:space="preserve"> </v>
      </c>
      <c r="Q78" s="266" t="str">
        <f t="shared" ref="Q78:Q80" si="23">IF(ISNUMBER(FIND("foster",LOWER(E78))),-F78," ")</f>
        <v xml:space="preserve"> </v>
      </c>
      <c r="S78" s="266"/>
      <c r="T78" s="266">
        <f>IF(ISNUMBER(FIND("Service Charge",C78)),-F78," ")</f>
        <v>18</v>
      </c>
      <c r="U78" s="266" t="str">
        <f t="shared" si="17"/>
        <v xml:space="preserve"> </v>
      </c>
      <c r="V78" s="266"/>
      <c r="W78" s="266"/>
      <c r="X78" s="266"/>
      <c r="Y78" s="266"/>
      <c r="Z78" s="266" t="str">
        <f t="shared" si="16"/>
        <v xml:space="preserve"> </v>
      </c>
      <c r="AA78" s="266"/>
      <c r="AB78" s="266"/>
      <c r="AC78" s="266"/>
      <c r="AD78" s="266"/>
      <c r="AE78" s="266"/>
      <c r="AF78" s="266"/>
      <c r="AG78" s="289"/>
      <c r="AH78" s="266"/>
      <c r="AI78" s="266"/>
      <c r="AJ78" s="266"/>
      <c r="AK78" s="266"/>
      <c r="AL78" s="266"/>
      <c r="AM78" s="266"/>
      <c r="AN78" s="266"/>
      <c r="AO78" s="266"/>
      <c r="AP78" s="266"/>
      <c r="AQ78" s="266"/>
      <c r="AR78" s="278" t="str">
        <f t="shared" si="21"/>
        <v xml:space="preserve"> </v>
      </c>
      <c r="AS78" s="266"/>
      <c r="AT78" s="276">
        <f t="shared" si="18"/>
        <v>0</v>
      </c>
    </row>
    <row r="79" spans="1:46">
      <c r="A79" s="258">
        <v>45382</v>
      </c>
      <c r="B79" s="257"/>
      <c r="C79" s="265" t="s">
        <v>330</v>
      </c>
      <c r="G79" s="263">
        <v>1343.21</v>
      </c>
      <c r="I79" s="278"/>
      <c r="J79" s="266"/>
      <c r="K79" s="266"/>
      <c r="L79" s="266"/>
      <c r="M79" s="266" t="str">
        <f t="shared" si="11"/>
        <v xml:space="preserve"> </v>
      </c>
      <c r="N79" s="266"/>
      <c r="O79" s="278"/>
      <c r="P79" s="268"/>
      <c r="Q79" s="266"/>
      <c r="R79" s="266"/>
      <c r="S79" s="266"/>
      <c r="T79" s="266"/>
      <c r="U79" s="266"/>
      <c r="V79" s="266"/>
      <c r="W79" s="266"/>
      <c r="X79" s="266"/>
      <c r="Y79" s="266"/>
      <c r="Z79" s="266" t="str">
        <f t="shared" si="16"/>
        <v xml:space="preserve"> </v>
      </c>
      <c r="AA79" s="266"/>
      <c r="AB79" s="266"/>
      <c r="AC79" s="266"/>
      <c r="AD79" s="266"/>
      <c r="AE79" s="266"/>
      <c r="AF79" s="266"/>
      <c r="AG79" s="289"/>
      <c r="AH79" s="266"/>
      <c r="AI79" s="266"/>
      <c r="AJ79" s="266"/>
      <c r="AK79" s="266"/>
      <c r="AL79" s="266"/>
      <c r="AM79" s="266"/>
      <c r="AN79" s="266"/>
      <c r="AO79" s="266"/>
      <c r="AP79" s="266"/>
      <c r="AQ79" s="266"/>
      <c r="AR79" s="278" t="str">
        <f t="shared" si="21"/>
        <v xml:space="preserve"> </v>
      </c>
      <c r="AS79" s="266"/>
      <c r="AT79" s="276">
        <f t="shared" si="18"/>
        <v>0</v>
      </c>
    </row>
    <row r="80" spans="1:46">
      <c r="I80" s="278"/>
      <c r="J80" s="266"/>
      <c r="K80" s="266"/>
      <c r="L80" s="266"/>
      <c r="M80" s="266"/>
      <c r="N80" s="266"/>
      <c r="O80" s="278"/>
      <c r="P80" s="268"/>
      <c r="Q80" s="266" t="str">
        <f t="shared" si="23"/>
        <v xml:space="preserve"> </v>
      </c>
      <c r="R80" s="266"/>
      <c r="S80" s="266"/>
      <c r="T80" s="266"/>
      <c r="U80" s="266"/>
      <c r="V80" s="266"/>
      <c r="W80" s="266"/>
      <c r="X80" s="266"/>
      <c r="Y80" s="266"/>
      <c r="Z80" s="266" t="str">
        <f t="shared" ref="Z80" si="24">IF(ISNUMBER(FIND("austen pc",LOWER(E80))),-F80," ")</f>
        <v xml:space="preserve"> </v>
      </c>
      <c r="AA80" s="266"/>
      <c r="AB80" s="266"/>
      <c r="AC80" s="266"/>
      <c r="AD80" s="266"/>
      <c r="AE80" s="266"/>
      <c r="AF80" s="266"/>
      <c r="AG80" s="289"/>
      <c r="AH80" s="266"/>
      <c r="AI80" s="266"/>
      <c r="AJ80" s="266"/>
      <c r="AK80" s="266"/>
      <c r="AL80" s="266"/>
      <c r="AM80" s="266"/>
      <c r="AN80" s="266"/>
      <c r="AO80" s="266"/>
      <c r="AP80" s="266"/>
      <c r="AQ80" s="266"/>
      <c r="AR80" s="278"/>
      <c r="AS80" s="266"/>
      <c r="AT80" s="276"/>
    </row>
    <row r="81" spans="1:46" s="262" customFormat="1">
      <c r="A81" s="262" t="s">
        <v>28</v>
      </c>
      <c r="F81" s="270"/>
      <c r="G81" s="263"/>
      <c r="H81" s="267">
        <f>SUM(I81:O81,AS81)-SUM(P81:AR81)-SUM(F7:F80)</f>
        <v>0</v>
      </c>
      <c r="I81" s="279">
        <f t="shared" ref="I81:Q81" si="25">SUM(I7:I80)</f>
        <v>0</v>
      </c>
      <c r="J81" s="269">
        <f t="shared" si="25"/>
        <v>0</v>
      </c>
      <c r="K81" s="269">
        <f t="shared" si="25"/>
        <v>0</v>
      </c>
      <c r="L81" s="269">
        <f t="shared" si="25"/>
        <v>0</v>
      </c>
      <c r="M81" s="269">
        <f t="shared" si="25"/>
        <v>3575</v>
      </c>
      <c r="N81" s="269">
        <f t="shared" si="25"/>
        <v>0</v>
      </c>
      <c r="O81" s="279">
        <f t="shared" si="25"/>
        <v>0</v>
      </c>
      <c r="P81" s="269">
        <f t="shared" si="25"/>
        <v>0</v>
      </c>
      <c r="Q81" s="269">
        <f t="shared" si="25"/>
        <v>5968.86</v>
      </c>
      <c r="R81" s="269">
        <f>SUM(R7:R80)</f>
        <v>0</v>
      </c>
      <c r="S81" s="269">
        <f t="shared" ref="S81:T81" si="26">SUM(S7:S80)</f>
        <v>0</v>
      </c>
      <c r="T81" s="269">
        <f t="shared" si="26"/>
        <v>72</v>
      </c>
      <c r="U81" s="269">
        <f t="shared" ref="U81:AT81" si="27">SUM(U7:U80)</f>
        <v>304.79999999999995</v>
      </c>
      <c r="V81" s="269">
        <f t="shared" si="27"/>
        <v>0</v>
      </c>
      <c r="W81" s="269">
        <f t="shared" si="27"/>
        <v>0</v>
      </c>
      <c r="X81" s="269">
        <f t="shared" si="27"/>
        <v>0</v>
      </c>
      <c r="Y81" s="269">
        <f t="shared" si="27"/>
        <v>187.97</v>
      </c>
      <c r="Z81" s="269">
        <f t="shared" si="27"/>
        <v>1636.4</v>
      </c>
      <c r="AA81" s="269">
        <f t="shared" si="27"/>
        <v>160</v>
      </c>
      <c r="AB81" s="269">
        <f t="shared" si="27"/>
        <v>503</v>
      </c>
      <c r="AC81" s="269">
        <f t="shared" si="27"/>
        <v>0</v>
      </c>
      <c r="AD81" s="269">
        <f t="shared" si="27"/>
        <v>0</v>
      </c>
      <c r="AE81" s="269">
        <f t="shared" si="27"/>
        <v>0</v>
      </c>
      <c r="AF81" s="269">
        <f t="shared" si="27"/>
        <v>0</v>
      </c>
      <c r="AG81" s="290">
        <f t="shared" si="27"/>
        <v>1058.4000000000001</v>
      </c>
      <c r="AH81" s="269">
        <f t="shared" si="27"/>
        <v>0</v>
      </c>
      <c r="AI81" s="269">
        <f t="shared" si="27"/>
        <v>2000</v>
      </c>
      <c r="AJ81" s="269">
        <f t="shared" si="27"/>
        <v>0</v>
      </c>
      <c r="AK81" s="269">
        <f t="shared" si="27"/>
        <v>0</v>
      </c>
      <c r="AL81" s="269">
        <f t="shared" si="27"/>
        <v>0</v>
      </c>
      <c r="AM81" s="269">
        <f t="shared" si="27"/>
        <v>250</v>
      </c>
      <c r="AN81" s="269">
        <f t="shared" si="27"/>
        <v>978.57999999999993</v>
      </c>
      <c r="AO81" s="269">
        <f t="shared" si="27"/>
        <v>0</v>
      </c>
      <c r="AP81" s="269">
        <f t="shared" si="27"/>
        <v>193</v>
      </c>
      <c r="AQ81" s="269">
        <f t="shared" si="27"/>
        <v>0</v>
      </c>
      <c r="AR81" s="279">
        <f t="shared" si="27"/>
        <v>2400</v>
      </c>
      <c r="AS81" s="269">
        <f>SUM(AS7:AS80)</f>
        <v>13000</v>
      </c>
      <c r="AT81" s="270">
        <f t="shared" si="27"/>
        <v>0</v>
      </c>
    </row>
    <row r="82" spans="1:46">
      <c r="H82" s="255"/>
      <c r="I82" s="278"/>
      <c r="J82" s="266"/>
      <c r="K82" s="266"/>
      <c r="L82" s="266"/>
      <c r="M82" s="266"/>
      <c r="N82" s="266"/>
      <c r="O82" s="278"/>
      <c r="P82" s="266"/>
      <c r="Q82" s="266"/>
      <c r="R82" s="266"/>
      <c r="S82" s="266"/>
      <c r="T82" s="266"/>
      <c r="U82" s="266"/>
      <c r="V82" s="266"/>
      <c r="W82" s="266"/>
      <c r="X82" s="266"/>
      <c r="Y82" s="266"/>
      <c r="Z82" s="266"/>
      <c r="AA82" s="266"/>
      <c r="AB82" s="266"/>
      <c r="AC82" s="266"/>
      <c r="AD82" s="266"/>
      <c r="AE82" s="266"/>
      <c r="AF82" s="266"/>
      <c r="AG82" s="289"/>
      <c r="AH82" s="266"/>
      <c r="AI82" s="266"/>
      <c r="AJ82" s="266"/>
      <c r="AK82" s="266"/>
      <c r="AL82" s="266"/>
      <c r="AM82" s="266"/>
      <c r="AN82" s="266"/>
      <c r="AO82" s="266"/>
      <c r="AP82" s="266"/>
      <c r="AQ82" s="266"/>
      <c r="AR82" s="278"/>
      <c r="AS82" s="266"/>
      <c r="AT82" s="276"/>
    </row>
    <row r="83" spans="1:46">
      <c r="I83" s="278"/>
      <c r="J83" s="266"/>
      <c r="K83" s="266"/>
      <c r="L83" s="266"/>
      <c r="M83" s="266"/>
      <c r="N83" s="266"/>
      <c r="O83" s="266"/>
      <c r="P83" s="280"/>
      <c r="Q83" s="266"/>
      <c r="R83" s="266"/>
      <c r="S83" s="266"/>
      <c r="T83" s="266"/>
      <c r="U83" s="266"/>
      <c r="V83" s="266"/>
      <c r="W83" s="266"/>
      <c r="X83" s="266"/>
      <c r="Y83" s="266"/>
      <c r="Z83" s="266"/>
      <c r="AA83" s="266"/>
      <c r="AB83" s="266"/>
      <c r="AC83" s="266"/>
      <c r="AD83" s="266"/>
      <c r="AE83" s="266"/>
      <c r="AF83" s="266"/>
      <c r="AG83" s="289"/>
      <c r="AH83" s="266"/>
      <c r="AI83" s="266"/>
      <c r="AJ83" s="266"/>
      <c r="AK83" s="266"/>
      <c r="AL83" s="266"/>
      <c r="AM83" s="266"/>
      <c r="AN83" s="266"/>
      <c r="AO83" s="266"/>
      <c r="AP83" s="266"/>
      <c r="AQ83" s="266"/>
      <c r="AR83" s="278"/>
      <c r="AS83" s="266"/>
      <c r="AT83" s="276"/>
    </row>
    <row r="84" spans="1:46">
      <c r="I84" s="278"/>
      <c r="J84" s="269" t="s">
        <v>331</v>
      </c>
      <c r="K84" s="269"/>
      <c r="L84" s="269"/>
      <c r="M84" s="269"/>
      <c r="N84" s="269">
        <f>SUM(J81:O81)</f>
        <v>3575</v>
      </c>
      <c r="O84" s="266"/>
      <c r="P84" s="285" t="s">
        <v>332</v>
      </c>
      <c r="Q84" s="269"/>
      <c r="R84" s="269"/>
      <c r="S84" s="269"/>
      <c r="T84" s="269"/>
      <c r="U84" s="269">
        <f>SUM(P81:AR81)</f>
        <v>15713.01</v>
      </c>
      <c r="V84" s="269"/>
      <c r="W84" s="266"/>
      <c r="X84" s="266"/>
      <c r="Y84" s="266"/>
      <c r="Z84" s="266"/>
      <c r="AA84" s="266"/>
      <c r="AB84" s="266"/>
      <c r="AC84" s="266"/>
      <c r="AD84" s="266"/>
      <c r="AE84" s="266"/>
      <c r="AF84" s="266"/>
      <c r="AG84" s="289"/>
      <c r="AH84" s="266"/>
      <c r="AI84" s="266"/>
      <c r="AJ84" s="266"/>
      <c r="AK84" s="266"/>
      <c r="AL84" s="266"/>
      <c r="AM84" s="266"/>
      <c r="AN84" s="266"/>
      <c r="AO84" s="266"/>
      <c r="AP84" s="266"/>
      <c r="AQ84" s="266"/>
      <c r="AR84" s="278"/>
      <c r="AS84" s="266"/>
      <c r="AT84" s="276"/>
    </row>
    <row r="85" spans="1:46">
      <c r="I85" s="266"/>
      <c r="J85" s="266"/>
      <c r="K85" s="266"/>
      <c r="L85" s="266"/>
      <c r="M85" s="266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89"/>
      <c r="AH85" s="266"/>
      <c r="AI85" s="266"/>
      <c r="AJ85" s="266"/>
      <c r="AK85" s="266"/>
      <c r="AL85" s="266"/>
      <c r="AM85" s="266"/>
      <c r="AN85" s="266"/>
      <c r="AO85" s="266"/>
      <c r="AP85" s="266"/>
      <c r="AQ85" s="266"/>
      <c r="AR85" s="266"/>
      <c r="AS85" s="266"/>
      <c r="AT85" s="276"/>
    </row>
    <row r="86" spans="1:46">
      <c r="I86" s="266"/>
      <c r="J86" s="266"/>
      <c r="K86" s="266"/>
      <c r="L86" s="266"/>
      <c r="M86" s="266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266"/>
      <c r="Z86" s="266"/>
      <c r="AA86" s="266"/>
      <c r="AB86" s="266"/>
      <c r="AC86" s="266"/>
      <c r="AD86" s="266"/>
      <c r="AE86" s="266"/>
      <c r="AF86" s="266"/>
      <c r="AG86" s="289"/>
      <c r="AH86" s="266"/>
      <c r="AI86" s="266"/>
      <c r="AJ86" s="266"/>
      <c r="AK86" s="266"/>
      <c r="AL86" s="266"/>
      <c r="AM86" s="266"/>
      <c r="AN86" s="266"/>
      <c r="AO86" s="266"/>
      <c r="AP86" s="266"/>
      <c r="AQ86" s="266"/>
      <c r="AR86" s="266"/>
      <c r="AS86" s="266"/>
      <c r="AT86" s="276"/>
    </row>
    <row r="87" spans="1:46">
      <c r="I87" s="266"/>
      <c r="J87" s="266"/>
      <c r="K87" s="266"/>
      <c r="L87" s="266"/>
      <c r="M87" s="266"/>
      <c r="N87" s="266"/>
      <c r="O87" s="266"/>
      <c r="P87" s="266"/>
      <c r="Q87" s="266"/>
      <c r="R87" s="266"/>
      <c r="S87" s="266"/>
      <c r="T87" s="266"/>
      <c r="U87" s="266"/>
      <c r="V87" s="266"/>
      <c r="W87" s="266"/>
      <c r="X87" s="266"/>
      <c r="Y87" s="266"/>
      <c r="Z87" s="266"/>
      <c r="AA87" s="266"/>
      <c r="AB87" s="266"/>
      <c r="AC87" s="266"/>
      <c r="AD87" s="266"/>
      <c r="AE87" s="266"/>
      <c r="AF87" s="266"/>
      <c r="AG87" s="289"/>
      <c r="AH87" s="266"/>
      <c r="AI87" s="266"/>
      <c r="AJ87" s="266"/>
      <c r="AK87" s="266"/>
      <c r="AL87" s="266"/>
      <c r="AM87" s="266"/>
      <c r="AN87" s="266"/>
      <c r="AO87" s="266"/>
      <c r="AP87" s="266"/>
      <c r="AQ87" s="266"/>
      <c r="AR87" s="266"/>
      <c r="AS87" s="266"/>
      <c r="AT87" s="276"/>
    </row>
    <row r="88" spans="1:46">
      <c r="I88" s="266"/>
      <c r="J88" s="266"/>
      <c r="K88" s="266"/>
      <c r="L88" s="266"/>
      <c r="M88" s="266"/>
      <c r="N88" s="266"/>
      <c r="O88" s="266"/>
      <c r="P88" s="266"/>
      <c r="Q88" s="266"/>
      <c r="R88" s="266"/>
      <c r="S88" s="266"/>
      <c r="T88" s="266"/>
      <c r="U88" s="266"/>
      <c r="V88" s="266"/>
      <c r="W88" s="266"/>
      <c r="X88" s="266"/>
      <c r="Y88" s="266"/>
      <c r="Z88" s="266"/>
      <c r="AA88" s="266"/>
      <c r="AB88" s="266"/>
      <c r="AC88" s="266"/>
      <c r="AD88" s="266"/>
      <c r="AE88" s="266"/>
      <c r="AF88" s="266"/>
      <c r="AG88" s="289"/>
      <c r="AH88" s="266"/>
      <c r="AI88" s="266"/>
      <c r="AJ88" s="266"/>
      <c r="AK88" s="266"/>
      <c r="AL88" s="266"/>
      <c r="AM88" s="266"/>
      <c r="AN88" s="266"/>
      <c r="AO88" s="266"/>
      <c r="AP88" s="266"/>
      <c r="AQ88" s="266"/>
      <c r="AR88" s="266"/>
      <c r="AS88" s="266"/>
      <c r="AT88" s="276"/>
    </row>
    <row r="89" spans="1:46">
      <c r="I89" s="266"/>
      <c r="J89" s="266"/>
      <c r="K89" s="266"/>
      <c r="L89" s="266"/>
      <c r="M89" s="266"/>
      <c r="N89" s="266"/>
      <c r="O89" s="266"/>
      <c r="P89" s="266"/>
      <c r="Q89" s="266"/>
      <c r="R89" s="266"/>
      <c r="S89" s="266"/>
      <c r="T89" s="266"/>
      <c r="U89" s="266"/>
      <c r="V89" s="266"/>
      <c r="W89" s="266"/>
      <c r="X89" s="266"/>
      <c r="Y89" s="266"/>
      <c r="Z89" s="266"/>
      <c r="AA89" s="266"/>
      <c r="AB89" s="266"/>
      <c r="AC89" s="266"/>
      <c r="AD89" s="266"/>
      <c r="AE89" s="266"/>
      <c r="AF89" s="266"/>
      <c r="AG89" s="289"/>
      <c r="AH89" s="266"/>
      <c r="AI89" s="266"/>
      <c r="AJ89" s="266"/>
      <c r="AK89" s="266"/>
      <c r="AL89" s="266"/>
      <c r="AM89" s="266"/>
      <c r="AN89" s="266"/>
      <c r="AO89" s="266"/>
      <c r="AP89" s="266"/>
      <c r="AQ89" s="266"/>
      <c r="AR89" s="266"/>
      <c r="AS89" s="266"/>
      <c r="AT89" s="276"/>
    </row>
    <row r="90" spans="1:46">
      <c r="I90" s="266"/>
      <c r="J90" s="266"/>
      <c r="K90" s="266"/>
      <c r="L90" s="266"/>
      <c r="M90" s="266"/>
      <c r="N90" s="266"/>
      <c r="O90" s="266"/>
      <c r="P90" s="266"/>
      <c r="Q90" s="266"/>
      <c r="R90" s="266"/>
      <c r="S90" s="266"/>
      <c r="T90" s="266"/>
      <c r="U90" s="266"/>
      <c r="V90" s="266"/>
      <c r="W90" s="266"/>
      <c r="X90" s="266"/>
      <c r="Y90" s="266"/>
      <c r="Z90" s="266"/>
      <c r="AA90" s="266"/>
      <c r="AB90" s="266"/>
      <c r="AC90" s="266"/>
      <c r="AD90" s="266"/>
      <c r="AE90" s="266"/>
      <c r="AF90" s="266"/>
      <c r="AG90" s="289"/>
      <c r="AH90" s="266"/>
      <c r="AI90" s="266"/>
      <c r="AJ90" s="266"/>
      <c r="AK90" s="266"/>
      <c r="AL90" s="266"/>
      <c r="AM90" s="266"/>
      <c r="AN90" s="266"/>
      <c r="AO90" s="266"/>
      <c r="AP90" s="266"/>
      <c r="AQ90" s="266"/>
      <c r="AR90" s="266"/>
      <c r="AS90" s="266"/>
      <c r="AT90" s="276"/>
    </row>
    <row r="91" spans="1:46">
      <c r="I91" s="266"/>
      <c r="J91" s="266"/>
      <c r="K91" s="266"/>
      <c r="L91" s="266"/>
      <c r="M91" s="266"/>
      <c r="N91" s="266"/>
      <c r="O91" s="266"/>
      <c r="P91" s="266"/>
      <c r="Q91" s="266"/>
      <c r="R91" s="266"/>
      <c r="S91" s="266"/>
      <c r="T91" s="266"/>
      <c r="U91" s="266"/>
      <c r="V91" s="266"/>
      <c r="W91" s="266"/>
      <c r="X91" s="266"/>
      <c r="Y91" s="266"/>
      <c r="Z91" s="266"/>
      <c r="AA91" s="266"/>
      <c r="AB91" s="266"/>
      <c r="AC91" s="266"/>
      <c r="AD91" s="266"/>
      <c r="AE91" s="266"/>
      <c r="AF91" s="266"/>
      <c r="AG91" s="289"/>
      <c r="AH91" s="266"/>
      <c r="AI91" s="266"/>
      <c r="AJ91" s="266"/>
      <c r="AK91" s="266"/>
      <c r="AL91" s="266"/>
      <c r="AM91" s="266"/>
      <c r="AN91" s="266"/>
      <c r="AO91" s="266"/>
      <c r="AP91" s="266"/>
      <c r="AQ91" s="266"/>
      <c r="AR91" s="266"/>
      <c r="AS91" s="266"/>
      <c r="AT91" s="276"/>
    </row>
    <row r="92" spans="1:46">
      <c r="I92" s="266"/>
      <c r="J92" s="266"/>
      <c r="K92" s="266"/>
      <c r="L92" s="266"/>
      <c r="M92" s="266"/>
      <c r="N92" s="266"/>
      <c r="O92" s="266"/>
      <c r="P92" s="266"/>
      <c r="Q92" s="266"/>
      <c r="R92" s="266"/>
      <c r="S92" s="266"/>
      <c r="T92" s="266"/>
      <c r="U92" s="266"/>
      <c r="V92" s="266"/>
      <c r="W92" s="266"/>
      <c r="X92" s="266"/>
      <c r="Y92" s="266"/>
      <c r="Z92" s="266"/>
      <c r="AA92" s="266"/>
      <c r="AB92" s="266"/>
      <c r="AC92" s="266"/>
      <c r="AD92" s="266"/>
      <c r="AE92" s="266"/>
      <c r="AF92" s="266"/>
      <c r="AG92" s="289"/>
      <c r="AH92" s="266"/>
      <c r="AI92" s="266"/>
      <c r="AJ92" s="266"/>
      <c r="AK92" s="266"/>
      <c r="AL92" s="266"/>
      <c r="AM92" s="266"/>
      <c r="AN92" s="266"/>
      <c r="AO92" s="266"/>
      <c r="AP92" s="266"/>
      <c r="AQ92" s="266"/>
      <c r="AR92" s="266"/>
      <c r="AS92" s="266"/>
      <c r="AT92" s="276"/>
    </row>
  </sheetData>
  <mergeCells count="1">
    <mergeCell ref="A3:G3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zoomScale="85" zoomScaleNormal="85" workbookViewId="0">
      <selection activeCell="C4" sqref="C4:C15"/>
    </sheetView>
  </sheetViews>
  <sheetFormatPr defaultRowHeight="12.75"/>
  <cols>
    <col min="1" max="1" width="36.85546875" style="13" customWidth="1"/>
    <col min="2" max="2" width="12.140625" style="13" customWidth="1"/>
    <col min="3" max="3" width="16.28515625" bestFit="1" customWidth="1"/>
    <col min="4" max="4" width="16.28515625" customWidth="1"/>
    <col min="6" max="6" width="13.5703125" bestFit="1" customWidth="1"/>
  </cols>
  <sheetData>
    <row r="1" spans="1:6" ht="15">
      <c r="A1" s="286" t="s">
        <v>333</v>
      </c>
      <c r="B1" s="30"/>
    </row>
    <row r="2" spans="1:6" ht="15">
      <c r="A2" s="255"/>
      <c r="B2" s="262" t="s">
        <v>334</v>
      </c>
      <c r="C2" s="262" t="s">
        <v>335</v>
      </c>
      <c r="D2" s="262" t="s">
        <v>235</v>
      </c>
    </row>
    <row r="3" spans="1:6" ht="15">
      <c r="A3" s="255" t="s">
        <v>336</v>
      </c>
      <c r="B3" s="255"/>
      <c r="C3" s="255"/>
      <c r="D3" s="255">
        <v>29772.95</v>
      </c>
    </row>
    <row r="4" spans="1:6" ht="15">
      <c r="A4" s="255" t="s">
        <v>337</v>
      </c>
      <c r="B4" s="255"/>
      <c r="C4" s="255">
        <v>32.729999999999997</v>
      </c>
      <c r="D4" s="255">
        <f>D3+C4</f>
        <v>29805.68</v>
      </c>
    </row>
    <row r="5" spans="1:6" ht="15">
      <c r="A5" s="255" t="s">
        <v>338</v>
      </c>
      <c r="B5" s="255"/>
      <c r="C5" s="255">
        <v>34.5</v>
      </c>
      <c r="D5" s="255">
        <f t="shared" ref="D5:D15" si="0">D4+C5</f>
        <v>29840.18</v>
      </c>
    </row>
    <row r="6" spans="1:6" ht="15">
      <c r="A6" s="255" t="s">
        <v>339</v>
      </c>
      <c r="B6" s="255"/>
      <c r="C6" s="255">
        <v>36.99</v>
      </c>
      <c r="D6" s="255">
        <f t="shared" si="0"/>
        <v>29877.170000000002</v>
      </c>
    </row>
    <row r="7" spans="1:6" ht="15">
      <c r="A7" s="255" t="s">
        <v>340</v>
      </c>
      <c r="B7" s="255"/>
      <c r="C7" s="255">
        <v>38.31</v>
      </c>
      <c r="D7" s="255">
        <f t="shared" si="0"/>
        <v>29915.480000000003</v>
      </c>
    </row>
    <row r="8" spans="1:6" ht="15">
      <c r="A8" s="265" t="s">
        <v>341</v>
      </c>
      <c r="B8" s="255"/>
      <c r="C8" s="255">
        <v>44.96</v>
      </c>
      <c r="D8" s="255">
        <f t="shared" si="0"/>
        <v>29960.440000000002</v>
      </c>
    </row>
    <row r="9" spans="1:6" ht="15">
      <c r="A9" s="255" t="s">
        <v>342</v>
      </c>
      <c r="B9" s="255"/>
      <c r="C9" s="255">
        <v>47.66</v>
      </c>
      <c r="D9" s="255">
        <f t="shared" si="0"/>
        <v>30008.100000000002</v>
      </c>
    </row>
    <row r="10" spans="1:6" ht="15">
      <c r="A10" s="255" t="s">
        <v>343</v>
      </c>
      <c r="B10" s="255"/>
      <c r="C10" s="255">
        <v>47.85</v>
      </c>
      <c r="D10" s="255">
        <f t="shared" si="0"/>
        <v>30055.95</v>
      </c>
    </row>
    <row r="11" spans="1:6" ht="12" customHeight="1">
      <c r="A11" s="255" t="s">
        <v>344</v>
      </c>
      <c r="B11" s="255"/>
      <c r="C11" s="255">
        <v>49.52</v>
      </c>
      <c r="D11" s="255">
        <f t="shared" si="0"/>
        <v>30105.47</v>
      </c>
    </row>
    <row r="12" spans="1:6" ht="15">
      <c r="A12" s="255" t="s">
        <v>345</v>
      </c>
      <c r="B12" s="255"/>
      <c r="C12" s="255">
        <v>48</v>
      </c>
      <c r="D12" s="255">
        <f t="shared" si="0"/>
        <v>30153.47</v>
      </c>
    </row>
    <row r="13" spans="1:6" ht="15" customHeight="1">
      <c r="A13" s="255" t="s">
        <v>346</v>
      </c>
      <c r="B13" s="255"/>
      <c r="C13" s="255">
        <v>49.68</v>
      </c>
      <c r="D13" s="255">
        <f t="shared" si="0"/>
        <v>30203.15</v>
      </c>
    </row>
    <row r="14" spans="1:6" ht="15">
      <c r="A14" s="255" t="s">
        <v>347</v>
      </c>
      <c r="B14" s="255"/>
      <c r="C14" s="255">
        <v>49.76</v>
      </c>
      <c r="D14" s="255">
        <f t="shared" si="0"/>
        <v>30252.91</v>
      </c>
    </row>
    <row r="15" spans="1:6" ht="15">
      <c r="A15" s="255" t="s">
        <v>348</v>
      </c>
      <c r="B15" s="255"/>
      <c r="C15" s="255">
        <v>46.63</v>
      </c>
      <c r="D15" s="255">
        <f t="shared" si="0"/>
        <v>30299.54</v>
      </c>
      <c r="F15" s="26"/>
    </row>
    <row r="16" spans="1:6" ht="15">
      <c r="A16" s="255"/>
      <c r="B16" s="255"/>
      <c r="C16" s="255"/>
      <c r="D16" s="255"/>
    </row>
    <row r="17" spans="1:7" ht="15">
      <c r="A17" s="255" t="s">
        <v>349</v>
      </c>
      <c r="B17" s="255"/>
      <c r="C17" s="262">
        <f>SUM(C4:C15)</f>
        <v>526.59</v>
      </c>
      <c r="D17" s="255"/>
    </row>
    <row r="18" spans="1:7" ht="15">
      <c r="A18" s="255"/>
      <c r="B18" s="255"/>
      <c r="C18" s="255"/>
      <c r="D18" s="255"/>
    </row>
    <row r="19" spans="1:7" ht="15">
      <c r="A19" s="255" t="s">
        <v>350</v>
      </c>
      <c r="B19" s="255"/>
      <c r="C19" s="255"/>
      <c r="D19" s="255">
        <f>B19</f>
        <v>0</v>
      </c>
      <c r="G19" s="26"/>
    </row>
    <row r="20" spans="1:7" ht="15">
      <c r="A20" s="255"/>
      <c r="B20" s="255"/>
      <c r="C20" s="255"/>
      <c r="D20" s="255"/>
    </row>
    <row r="21" spans="1:7" ht="15">
      <c r="A21" s="255" t="s">
        <v>351</v>
      </c>
      <c r="B21" s="255"/>
      <c r="C21" s="255"/>
      <c r="D21" s="255">
        <f>D15</f>
        <v>30299.54</v>
      </c>
    </row>
    <row r="22" spans="1:7" ht="15">
      <c r="A22" s="255"/>
      <c r="B22" s="255"/>
      <c r="C22" s="255"/>
      <c r="D22" s="255"/>
    </row>
    <row r="23" spans="1:7" ht="15">
      <c r="A23" s="255" t="s">
        <v>352</v>
      </c>
      <c r="B23" s="255"/>
      <c r="C23" s="255"/>
      <c r="D23" s="255">
        <f>D21+'Main Acc'!Q144</f>
        <v>49475.509999999987</v>
      </c>
    </row>
    <row r="24" spans="1:7">
      <c r="A24" s="16"/>
      <c r="B24" s="16"/>
      <c r="D24" s="26"/>
    </row>
    <row r="25" spans="1:7">
      <c r="A25" s="30"/>
      <c r="B25" s="30"/>
      <c r="D25" s="45"/>
    </row>
    <row r="26" spans="1:7">
      <c r="D26" s="26"/>
    </row>
    <row r="27" spans="1:7">
      <c r="C27" s="187"/>
      <c r="D27" s="26"/>
    </row>
    <row r="28" spans="1:7">
      <c r="C28" s="187"/>
      <c r="D28" s="26"/>
    </row>
  </sheetData>
  <phoneticPr fontId="31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N16"/>
  <sheetViews>
    <sheetView topLeftCell="A3" zoomScaleNormal="100" workbookViewId="0">
      <selection activeCell="E26" sqref="E26"/>
    </sheetView>
  </sheetViews>
  <sheetFormatPr defaultRowHeight="12.75"/>
  <cols>
    <col min="1" max="1" width="2.5703125" customWidth="1"/>
    <col min="2" max="2" width="10.140625" customWidth="1"/>
    <col min="4" max="4" width="31.85546875" bestFit="1" customWidth="1"/>
    <col min="5" max="5" width="10.5703125" bestFit="1" customWidth="1"/>
    <col min="6" max="6" width="12.7109375" hidden="1" customWidth="1"/>
    <col min="7" max="7" width="10.5703125" customWidth="1"/>
    <col min="9" max="9" width="11.140625" style="101" bestFit="1" customWidth="1"/>
    <col min="10" max="10" width="0" hidden="1" customWidth="1"/>
    <col min="11" max="11" width="12.140625" customWidth="1"/>
    <col min="12" max="12" width="10.5703125" bestFit="1" customWidth="1"/>
  </cols>
  <sheetData>
    <row r="2" spans="2:14">
      <c r="B2" s="31" t="s">
        <v>353</v>
      </c>
    </row>
    <row r="3" spans="2:14" s="103" customFormat="1" ht="51">
      <c r="B3" s="103" t="s">
        <v>354</v>
      </c>
      <c r="C3" s="103" t="s">
        <v>355</v>
      </c>
      <c r="D3" s="103" t="s">
        <v>25</v>
      </c>
      <c r="E3" s="103" t="s">
        <v>356</v>
      </c>
      <c r="F3" s="103" t="s">
        <v>357</v>
      </c>
      <c r="G3" s="103" t="s">
        <v>358</v>
      </c>
      <c r="H3" s="103" t="s">
        <v>359</v>
      </c>
      <c r="I3" s="104" t="s">
        <v>360</v>
      </c>
      <c r="J3" s="103" t="s">
        <v>359</v>
      </c>
      <c r="K3" s="103" t="s">
        <v>361</v>
      </c>
      <c r="L3" s="103" t="s">
        <v>362</v>
      </c>
    </row>
    <row r="4" spans="2:14">
      <c r="I4" s="102" t="s">
        <v>363</v>
      </c>
      <c r="J4" s="102" t="s">
        <v>363</v>
      </c>
    </row>
    <row r="5" spans="2:14">
      <c r="B5">
        <v>1999</v>
      </c>
      <c r="C5">
        <v>482031</v>
      </c>
      <c r="D5" s="11" t="s">
        <v>364</v>
      </c>
      <c r="E5" s="12">
        <v>25</v>
      </c>
      <c r="F5" s="12">
        <f>2023-2016</f>
        <v>7</v>
      </c>
      <c r="G5" s="106">
        <v>45229</v>
      </c>
      <c r="H5" s="100">
        <v>4.4999999999999998E-2</v>
      </c>
      <c r="I5" s="101">
        <v>23000</v>
      </c>
      <c r="K5" s="291">
        <v>1491.46</v>
      </c>
      <c r="L5" s="96">
        <v>0</v>
      </c>
    </row>
    <row r="6" spans="2:14">
      <c r="E6" s="12"/>
      <c r="F6" s="12"/>
      <c r="H6" s="100"/>
      <c r="J6" s="101" t="e">
        <f>#REF!-J5</f>
        <v>#REF!</v>
      </c>
      <c r="K6" s="101"/>
    </row>
    <row r="7" spans="2:14">
      <c r="E7" s="12"/>
      <c r="F7" s="12"/>
      <c r="H7" s="100"/>
      <c r="J7" s="101"/>
      <c r="K7" s="101"/>
    </row>
    <row r="8" spans="2:14">
      <c r="B8">
        <v>2006</v>
      </c>
      <c r="C8">
        <v>491409</v>
      </c>
      <c r="D8" s="11" t="s">
        <v>365</v>
      </c>
      <c r="E8" s="12">
        <v>25</v>
      </c>
      <c r="F8" s="12">
        <f>2031-2017</f>
        <v>14</v>
      </c>
      <c r="G8" s="106">
        <v>47936</v>
      </c>
      <c r="H8" s="100">
        <v>4.4499999999999998E-2</v>
      </c>
      <c r="I8" s="101">
        <v>35000</v>
      </c>
      <c r="K8" s="291">
        <v>15568.17</v>
      </c>
      <c r="L8" s="101">
        <v>13908.41</v>
      </c>
    </row>
    <row r="9" spans="2:14">
      <c r="E9" s="12"/>
      <c r="F9" s="12"/>
      <c r="H9" s="100"/>
      <c r="L9" s="291">
        <f>K8-L8</f>
        <v>1659.7600000000002</v>
      </c>
    </row>
    <row r="10" spans="2:14">
      <c r="H10" s="100"/>
      <c r="L10">
        <v>1167.1400000000001</v>
      </c>
    </row>
    <row r="11" spans="2:14">
      <c r="H11" s="100"/>
      <c r="L11" s="292">
        <f>L9-L10</f>
        <v>492.62000000000012</v>
      </c>
      <c r="M11" s="293" t="s">
        <v>366</v>
      </c>
      <c r="N11" s="294"/>
    </row>
    <row r="12" spans="2:14">
      <c r="E12" s="31" t="s">
        <v>28</v>
      </c>
      <c r="F12" s="31"/>
      <c r="G12" s="31"/>
      <c r="H12" s="100"/>
      <c r="I12" s="105">
        <f>SUM(I5:I10)</f>
        <v>58000</v>
      </c>
      <c r="J12" s="105" t="e">
        <f t="shared" ref="J12:K12" si="0">SUM(J5:J10)</f>
        <v>#REF!</v>
      </c>
      <c r="K12" s="105">
        <f t="shared" si="0"/>
        <v>17059.63</v>
      </c>
      <c r="L12" s="295">
        <f>SUM(L5:L8)</f>
        <v>13908.41</v>
      </c>
      <c r="M12" s="121"/>
    </row>
    <row r="13" spans="2:14">
      <c r="H13" s="100"/>
      <c r="K13" s="291"/>
    </row>
    <row r="14" spans="2:14">
      <c r="H14" s="100"/>
    </row>
    <row r="15" spans="2:14">
      <c r="H15" s="100"/>
    </row>
    <row r="16" spans="2:14">
      <c r="H16" s="10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2"/>
  <sheetViews>
    <sheetView zoomScale="85" zoomScaleNormal="85" workbookViewId="0">
      <selection activeCell="O7" sqref="O7"/>
    </sheetView>
  </sheetViews>
  <sheetFormatPr defaultRowHeight="12.75"/>
  <cols>
    <col min="1" max="1" width="24.28515625" bestFit="1" customWidth="1"/>
    <col min="2" max="2" width="26.42578125" style="11" bestFit="1" customWidth="1"/>
    <col min="3" max="4" width="9.28515625" style="129" hidden="1" customWidth="1"/>
    <col min="5" max="5" width="10.5703125" style="129" hidden="1" customWidth="1"/>
    <col min="6" max="6" width="2" style="137" hidden="1" customWidth="1"/>
    <col min="7" max="9" width="9.28515625" style="129" hidden="1" customWidth="1"/>
    <col min="10" max="10" width="2.7109375" style="137" customWidth="1"/>
    <col min="11" max="11" width="20.85546875" style="129" customWidth="1"/>
    <col min="12" max="12" width="28.140625" style="145" bestFit="1" customWidth="1"/>
  </cols>
  <sheetData>
    <row r="1" spans="1:12">
      <c r="A1" s="5"/>
      <c r="B1" s="3"/>
      <c r="C1" s="146"/>
      <c r="D1" s="146"/>
      <c r="E1" s="146"/>
      <c r="F1" s="146"/>
      <c r="G1" s="146"/>
      <c r="H1" s="146"/>
      <c r="I1" s="146"/>
      <c r="J1" s="146"/>
      <c r="K1" s="146"/>
      <c r="L1" s="147"/>
    </row>
    <row r="2" spans="1:12" s="31" customFormat="1">
      <c r="A2" s="5"/>
      <c r="B2" s="3"/>
      <c r="C2" s="316" t="s">
        <v>367</v>
      </c>
      <c r="D2" s="316"/>
      <c r="E2" s="316"/>
      <c r="F2" s="146"/>
      <c r="G2" s="316" t="s">
        <v>368</v>
      </c>
      <c r="H2" s="316"/>
      <c r="I2" s="316"/>
      <c r="J2" s="146"/>
      <c r="K2" s="148" t="s">
        <v>369</v>
      </c>
      <c r="L2" s="147"/>
    </row>
    <row r="3" spans="1:12">
      <c r="A3" s="5"/>
      <c r="B3" s="3"/>
      <c r="C3" s="149"/>
      <c r="D3" s="149"/>
      <c r="E3" s="149"/>
      <c r="F3" s="146"/>
      <c r="G3" s="150"/>
      <c r="H3" s="146"/>
      <c r="I3" s="146"/>
      <c r="J3" s="146"/>
      <c r="K3" s="146"/>
      <c r="L3" s="147"/>
    </row>
    <row r="4" spans="1:12">
      <c r="A4" s="5"/>
      <c r="B4" s="60" t="s">
        <v>25</v>
      </c>
      <c r="C4" s="149" t="s">
        <v>370</v>
      </c>
      <c r="D4" s="149" t="s">
        <v>371</v>
      </c>
      <c r="E4" s="149" t="s">
        <v>372</v>
      </c>
      <c r="F4" s="146"/>
      <c r="G4" s="149" t="s">
        <v>370</v>
      </c>
      <c r="H4" s="149" t="s">
        <v>371</v>
      </c>
      <c r="I4" s="149" t="s">
        <v>373</v>
      </c>
      <c r="J4" s="146"/>
      <c r="K4" s="149" t="s">
        <v>370</v>
      </c>
      <c r="L4" s="151" t="s">
        <v>374</v>
      </c>
    </row>
    <row r="5" spans="1:12">
      <c r="A5" s="5"/>
      <c r="B5" s="3"/>
      <c r="C5" s="152"/>
      <c r="D5" s="153"/>
      <c r="E5" s="153"/>
      <c r="F5" s="146"/>
      <c r="G5" s="146"/>
      <c r="H5" s="146"/>
      <c r="I5" s="146"/>
      <c r="J5" s="146"/>
      <c r="K5" s="146"/>
      <c r="L5" s="147"/>
    </row>
    <row r="6" spans="1:12">
      <c r="A6" s="60" t="s">
        <v>375</v>
      </c>
      <c r="B6" s="3"/>
      <c r="C6" s="154"/>
      <c r="D6" s="155"/>
      <c r="E6" s="155"/>
      <c r="F6" s="146"/>
      <c r="G6" s="150"/>
      <c r="H6" s="146"/>
      <c r="I6" s="146"/>
      <c r="J6" s="146"/>
      <c r="K6" s="146"/>
      <c r="L6" s="147"/>
    </row>
    <row r="7" spans="1:12">
      <c r="A7" s="5"/>
      <c r="B7" s="128" t="s">
        <v>36</v>
      </c>
      <c r="C7" s="156">
        <f>+'[1]Year end spend v budget'!C2</f>
        <v>3825.4079999999999</v>
      </c>
      <c r="D7" s="153">
        <f>+'[1]Year end spend v budget'!B2</f>
        <v>5174.3499999999995</v>
      </c>
      <c r="E7" s="153">
        <f>+C7-D7</f>
        <v>-1348.9419999999996</v>
      </c>
      <c r="F7" s="150"/>
      <c r="G7" s="153">
        <f>+[2]Sheet1!F3</f>
        <v>3901.9161599999998</v>
      </c>
      <c r="H7" s="153">
        <f>+'Main Acc'!Q142</f>
        <v>0</v>
      </c>
      <c r="I7" s="153">
        <f>+H7/6*12</f>
        <v>0</v>
      </c>
      <c r="J7" s="146"/>
      <c r="K7" s="153">
        <f>+I7*1.02</f>
        <v>0</v>
      </c>
      <c r="L7" s="151" t="s">
        <v>376</v>
      </c>
    </row>
    <row r="8" spans="1:12">
      <c r="A8" s="5"/>
      <c r="B8" s="3" t="str">
        <f>'Main Acc'!AG3</f>
        <v>Payroll</v>
      </c>
      <c r="C8" s="156">
        <f>+'[1]Year end spend v budget'!C3</f>
        <v>1141</v>
      </c>
      <c r="D8" s="153">
        <f>+'[1]Year end spend v budget'!B3</f>
        <v>217.26</v>
      </c>
      <c r="E8" s="153">
        <f t="shared" ref="E8:E46" si="0">+C8-D8</f>
        <v>923.74</v>
      </c>
      <c r="F8" s="146"/>
      <c r="G8" s="153">
        <f>+[2]Sheet1!F4</f>
        <v>1164.145176</v>
      </c>
      <c r="H8" s="153">
        <f>+'Main Acc'!R142</f>
        <v>0</v>
      </c>
      <c r="I8" s="153">
        <f>+I7*0.12</f>
        <v>0</v>
      </c>
      <c r="J8" s="146"/>
      <c r="K8" s="153">
        <f>+I8*1.02</f>
        <v>0</v>
      </c>
      <c r="L8" s="151" t="s">
        <v>376</v>
      </c>
    </row>
    <row r="9" spans="1:12">
      <c r="A9" s="5"/>
      <c r="B9" s="3" t="s">
        <v>39</v>
      </c>
      <c r="C9" s="156"/>
      <c r="D9" s="153"/>
      <c r="E9" s="153"/>
      <c r="F9" s="146"/>
      <c r="G9" s="153"/>
      <c r="H9" s="153"/>
      <c r="I9" s="153"/>
      <c r="J9" s="146"/>
      <c r="K9" s="153">
        <v>117</v>
      </c>
      <c r="L9" s="151"/>
    </row>
    <row r="10" spans="1:12">
      <c r="A10" s="5"/>
      <c r="B10" s="3" t="str">
        <f>'Main Acc'!AH3</f>
        <v>Clerks Expenses/Purchases on PC's behalf</v>
      </c>
      <c r="C10" s="156">
        <f>+'[1]Year end spend v budget'!C4</f>
        <v>879</v>
      </c>
      <c r="D10" s="153">
        <f>+'[1]Year end spend v budget'!B4</f>
        <v>1750.82</v>
      </c>
      <c r="E10" s="153">
        <f t="shared" si="0"/>
        <v>-871.81999999999994</v>
      </c>
      <c r="F10" s="150"/>
      <c r="G10" s="153">
        <f>+[2]Sheet1!F5</f>
        <v>896.82479999999998</v>
      </c>
      <c r="H10" s="153">
        <f>+'Main Acc'!S142</f>
        <v>0</v>
      </c>
      <c r="I10" s="153">
        <f>+H10/6*12</f>
        <v>0</v>
      </c>
      <c r="J10" s="146"/>
      <c r="K10" s="153">
        <f>+I10*1.02</f>
        <v>0</v>
      </c>
      <c r="L10" s="151" t="s">
        <v>376</v>
      </c>
    </row>
    <row r="11" spans="1:12">
      <c r="A11" s="5"/>
      <c r="B11" s="3"/>
      <c r="C11" s="157">
        <f>SUM(C7:C10)</f>
        <v>5845.4079999999994</v>
      </c>
      <c r="D11" s="157">
        <f t="shared" ref="D11:K11" si="1">SUM(D7:D10)</f>
        <v>7142.4299999999994</v>
      </c>
      <c r="E11" s="157">
        <f t="shared" si="1"/>
        <v>-1297.0219999999995</v>
      </c>
      <c r="F11" s="150"/>
      <c r="G11" s="157">
        <f t="shared" si="1"/>
        <v>5962.8861360000001</v>
      </c>
      <c r="H11" s="157">
        <f t="shared" si="1"/>
        <v>0</v>
      </c>
      <c r="I11" s="157">
        <f t="shared" si="1"/>
        <v>0</v>
      </c>
      <c r="J11" s="146"/>
      <c r="K11" s="157">
        <f t="shared" si="1"/>
        <v>117</v>
      </c>
      <c r="L11" s="147"/>
    </row>
    <row r="12" spans="1:12">
      <c r="A12" s="60" t="s">
        <v>377</v>
      </c>
      <c r="B12" s="3"/>
      <c r="C12" s="156"/>
      <c r="D12" s="153"/>
      <c r="E12" s="153"/>
      <c r="F12" s="150"/>
      <c r="G12" s="153"/>
      <c r="H12" s="153"/>
      <c r="I12" s="153"/>
      <c r="J12" s="146"/>
      <c r="K12" s="153"/>
      <c r="L12" s="147"/>
    </row>
    <row r="13" spans="1:12">
      <c r="A13" s="5"/>
      <c r="B13" s="3" t="str">
        <f>'Main Acc'!AI3</f>
        <v xml:space="preserve">Insurance </v>
      </c>
      <c r="C13" s="156">
        <f>+'[1]Year end spend v budget'!C5</f>
        <v>1010</v>
      </c>
      <c r="D13" s="153">
        <f>+'[1]Year end spend v budget'!B5</f>
        <v>1016.51</v>
      </c>
      <c r="E13" s="153">
        <f t="shared" si="0"/>
        <v>-6.5099999999999909</v>
      </c>
      <c r="F13" s="146"/>
      <c r="G13" s="153">
        <f>+[2]Sheet1!F6</f>
        <v>1036.2384</v>
      </c>
      <c r="H13" s="153">
        <f>+'Main Acc'!T142</f>
        <v>51060.12</v>
      </c>
      <c r="I13" s="153">
        <f>+H13</f>
        <v>51060.12</v>
      </c>
      <c r="J13" s="146"/>
      <c r="K13" s="153">
        <f>+I13*1.05</f>
        <v>53613.126000000004</v>
      </c>
      <c r="L13" s="151" t="s">
        <v>378</v>
      </c>
    </row>
    <row r="14" spans="1:12">
      <c r="A14" s="5"/>
      <c r="B14" s="3" t="str">
        <f>'Main Acc'!AJ3</f>
        <v>Audit Fees internal</v>
      </c>
      <c r="C14" s="156">
        <f>+'[1]Year end spend v budget'!C6</f>
        <v>128</v>
      </c>
      <c r="D14" s="153">
        <f>+'[1]Year end spend v budget'!B6</f>
        <v>135</v>
      </c>
      <c r="E14" s="153">
        <f t="shared" si="0"/>
        <v>-7</v>
      </c>
      <c r="F14" s="146"/>
      <c r="G14" s="153">
        <f>+[2]Sheet1!F7</f>
        <v>249.696</v>
      </c>
      <c r="H14" s="153">
        <f>+'Main Acc'!U142</f>
        <v>0</v>
      </c>
      <c r="I14" s="153">
        <f>+H14</f>
        <v>0</v>
      </c>
      <c r="J14" s="146"/>
      <c r="K14" s="153">
        <f>+G14</f>
        <v>249.696</v>
      </c>
      <c r="L14" s="151" t="s">
        <v>379</v>
      </c>
    </row>
    <row r="15" spans="1:12">
      <c r="A15" s="5"/>
      <c r="B15" s="3" t="s">
        <v>380</v>
      </c>
      <c r="C15" s="156">
        <f>+'[1]Year end spend v budget'!C7</f>
        <v>240</v>
      </c>
      <c r="D15" s="153">
        <f>+'[1]Year end spend v budget'!B7</f>
        <v>240</v>
      </c>
      <c r="E15" s="153">
        <f t="shared" si="0"/>
        <v>0</v>
      </c>
      <c r="F15" s="146"/>
      <c r="G15" s="153">
        <f>+[2]Sheet1!F8</f>
        <v>130.05000000000001</v>
      </c>
      <c r="H15" s="153">
        <f>+'Main Acc'!V142</f>
        <v>0</v>
      </c>
      <c r="I15" s="153">
        <f>+G15</f>
        <v>130.05000000000001</v>
      </c>
      <c r="J15" s="146"/>
      <c r="K15" s="153">
        <f>+G15</f>
        <v>130.05000000000001</v>
      </c>
      <c r="L15" s="151" t="s">
        <v>379</v>
      </c>
    </row>
    <row r="16" spans="1:12">
      <c r="A16" s="5"/>
      <c r="B16" s="3" t="str">
        <f>'Main Acc'!AW3</f>
        <v>PWLB 491409</v>
      </c>
      <c r="C16" s="156">
        <f>+'[1]Year end spend v budget'!C20</f>
        <v>1540</v>
      </c>
      <c r="D16" s="153">
        <f>+'[1]Year end spend v budget'!B20</f>
        <v>1541.82</v>
      </c>
      <c r="E16" s="153">
        <f>+C16-D16</f>
        <v>-1.8199999999999363</v>
      </c>
      <c r="F16" s="146"/>
      <c r="G16" s="153">
        <f>+[2]Sheet1!F16</f>
        <v>1540</v>
      </c>
      <c r="H16" s="153">
        <f>+'Main Acc'!AI142</f>
        <v>2044.56</v>
      </c>
      <c r="I16" s="153">
        <f>+G16</f>
        <v>1540</v>
      </c>
      <c r="J16" s="146"/>
      <c r="K16" s="153">
        <f t="shared" ref="K16:K18" si="2">+G16</f>
        <v>1540</v>
      </c>
      <c r="L16" s="151" t="s">
        <v>381</v>
      </c>
    </row>
    <row r="17" spans="1:12">
      <c r="A17" s="5"/>
      <c r="B17" s="3" t="e">
        <f>'Main Acc'!#REF!</f>
        <v>#REF!</v>
      </c>
      <c r="C17" s="156">
        <f>+'[1]Year end spend v budget'!C21</f>
        <v>2334</v>
      </c>
      <c r="D17" s="153">
        <f>+'[1]Year end spend v budget'!B21</f>
        <v>2334.2800000000002</v>
      </c>
      <c r="E17" s="153">
        <f>+C17-D17</f>
        <v>-0.28000000000020009</v>
      </c>
      <c r="F17" s="150"/>
      <c r="G17" s="153">
        <f>+[2]Sheet1!F17</f>
        <v>2334</v>
      </c>
      <c r="H17" s="153">
        <f>+'Main Acc'!AJ142</f>
        <v>250</v>
      </c>
      <c r="I17" s="153">
        <f t="shared" ref="I17:I18" si="3">+G17</f>
        <v>2334</v>
      </c>
      <c r="J17" s="146"/>
      <c r="K17" s="153">
        <f t="shared" si="2"/>
        <v>2334</v>
      </c>
      <c r="L17" s="151" t="s">
        <v>381</v>
      </c>
    </row>
    <row r="18" spans="1:12">
      <c r="A18" s="5"/>
      <c r="B18" s="3" t="str">
        <f>'Main Acc'!AX3</f>
        <v>PWLB  482031</v>
      </c>
      <c r="C18" s="156">
        <f>+'[1]Year end spend v budget'!C22</f>
        <v>1662</v>
      </c>
      <c r="D18" s="153">
        <f>+'[1]Year end spend v budget'!B22</f>
        <v>1663.3</v>
      </c>
      <c r="E18" s="153">
        <f>+C18-D18</f>
        <v>-1.2999999999999545</v>
      </c>
      <c r="F18" s="146"/>
      <c r="G18" s="153">
        <f>+[2]Sheet1!F18</f>
        <v>1662</v>
      </c>
      <c r="H18" s="153">
        <f>+'Main Acc'!AK142</f>
        <v>804</v>
      </c>
      <c r="I18" s="153">
        <f t="shared" si="3"/>
        <v>1662</v>
      </c>
      <c r="J18" s="146"/>
      <c r="K18" s="153">
        <f t="shared" si="2"/>
        <v>1662</v>
      </c>
      <c r="L18" s="151" t="s">
        <v>381</v>
      </c>
    </row>
    <row r="19" spans="1:12">
      <c r="A19" s="5"/>
      <c r="B19" s="3"/>
      <c r="C19" s="157">
        <f>SUM(C13:C18)</f>
        <v>6914</v>
      </c>
      <c r="D19" s="157">
        <f>SUM(D13:D18)</f>
        <v>6930.9100000000008</v>
      </c>
      <c r="E19" s="157">
        <f>SUM(E13:E18)</f>
        <v>-16.910000000000082</v>
      </c>
      <c r="F19" s="150"/>
      <c r="G19" s="157">
        <f>SUM(G13:G18)</f>
        <v>6951.9843999999994</v>
      </c>
      <c r="H19" s="157">
        <f>SUM(H13:H18)</f>
        <v>54158.68</v>
      </c>
      <c r="I19" s="157">
        <f>SUM(I13:I18)</f>
        <v>56726.170000000006</v>
      </c>
      <c r="J19" s="146"/>
      <c r="K19" s="157">
        <f>SUM(K13:K18)</f>
        <v>59528.87200000001</v>
      </c>
      <c r="L19" s="147"/>
    </row>
    <row r="20" spans="1:12">
      <c r="A20" s="60" t="s">
        <v>382</v>
      </c>
      <c r="B20" s="60"/>
      <c r="C20" s="156"/>
      <c r="D20" s="153"/>
      <c r="E20" s="153"/>
      <c r="F20" s="146"/>
      <c r="G20" s="153"/>
      <c r="H20" s="153"/>
      <c r="I20" s="153"/>
      <c r="J20" s="146"/>
      <c r="K20" s="153"/>
      <c r="L20" s="147"/>
    </row>
    <row r="21" spans="1:12">
      <c r="A21" s="5"/>
      <c r="B21" s="3" t="str">
        <f>'Main Acc'!AL3</f>
        <v>Membership and Training</v>
      </c>
      <c r="C21" s="156">
        <f>+'[1]Year end spend v budget'!C8</f>
        <v>664</v>
      </c>
      <c r="D21" s="153">
        <f>+'[1]Year end spend v budget'!B8</f>
        <v>988.49</v>
      </c>
      <c r="E21" s="153">
        <f t="shared" si="0"/>
        <v>-324.49</v>
      </c>
      <c r="F21" s="146"/>
      <c r="G21" s="153">
        <f>+[2]Sheet1!F9</f>
        <v>690</v>
      </c>
      <c r="H21" s="153">
        <f>+'Main Acc'!W142</f>
        <v>0</v>
      </c>
      <c r="I21" s="153">
        <f>+H21</f>
        <v>0</v>
      </c>
      <c r="J21" s="146"/>
      <c r="K21" s="153">
        <f>+G21</f>
        <v>690</v>
      </c>
      <c r="L21" s="151" t="s">
        <v>383</v>
      </c>
    </row>
    <row r="22" spans="1:12">
      <c r="A22" s="5"/>
      <c r="B22" s="3" t="s">
        <v>384</v>
      </c>
      <c r="C22" s="156"/>
      <c r="D22" s="153"/>
      <c r="E22" s="153"/>
      <c r="F22" s="146"/>
      <c r="G22" s="153">
        <f>+[2]Sheet1!$F$20</f>
        <v>100</v>
      </c>
      <c r="H22" s="153">
        <f>+'Main Acc'!AP142</f>
        <v>1151</v>
      </c>
      <c r="I22" s="153">
        <f>+G22</f>
        <v>100</v>
      </c>
      <c r="J22" s="146"/>
      <c r="K22" s="153">
        <f>+G22</f>
        <v>100</v>
      </c>
      <c r="L22" s="151" t="s">
        <v>383</v>
      </c>
    </row>
    <row r="23" spans="1:12">
      <c r="A23" s="5"/>
      <c r="B23" s="3"/>
      <c r="C23" s="157">
        <f>SUM(C20:C21)</f>
        <v>664</v>
      </c>
      <c r="D23" s="157">
        <f t="shared" ref="D23:E23" si="4">SUM(D20:D21)</f>
        <v>988.49</v>
      </c>
      <c r="E23" s="157">
        <f t="shared" si="4"/>
        <v>-324.49</v>
      </c>
      <c r="F23" s="146"/>
      <c r="G23" s="157">
        <f>SUM(G20:G22)</f>
        <v>790</v>
      </c>
      <c r="H23" s="157">
        <f>SUM(H20:H22)</f>
        <v>1151</v>
      </c>
      <c r="I23" s="157">
        <f>SUM(I20:I22)</f>
        <v>100</v>
      </c>
      <c r="J23" s="146"/>
      <c r="K23" s="157">
        <f>SUM(K20:K22)</f>
        <v>790</v>
      </c>
      <c r="L23" s="147"/>
    </row>
    <row r="24" spans="1:12">
      <c r="A24" s="60" t="s">
        <v>385</v>
      </c>
      <c r="B24" s="3"/>
      <c r="C24" s="156"/>
      <c r="D24" s="153"/>
      <c r="E24" s="153"/>
      <c r="F24" s="146"/>
      <c r="G24" s="153"/>
      <c r="H24" s="153"/>
      <c r="I24" s="153"/>
      <c r="J24" s="146"/>
      <c r="K24" s="153"/>
      <c r="L24" s="147"/>
    </row>
    <row r="25" spans="1:12">
      <c r="A25" s="5"/>
      <c r="B25" s="3" t="str">
        <f>'Main Acc'!AM3</f>
        <v>Caretaker</v>
      </c>
      <c r="C25" s="156">
        <f>+'[1]Year end spend v budget'!C9</f>
        <v>2652</v>
      </c>
      <c r="D25" s="153">
        <f>+'[1]Year end spend v budget'!B9</f>
        <v>2844</v>
      </c>
      <c r="E25" s="153">
        <f t="shared" si="0"/>
        <v>-192</v>
      </c>
      <c r="F25" s="150"/>
      <c r="G25" s="153">
        <f>+[2]Sheet1!F10</f>
        <v>2705.04</v>
      </c>
      <c r="H25" s="153">
        <f>+'Main Acc'!X142</f>
        <v>0</v>
      </c>
      <c r="I25" s="153">
        <f>204*12-H25</f>
        <v>2448</v>
      </c>
      <c r="J25" s="146"/>
      <c r="K25" s="153">
        <f>204*12</f>
        <v>2448</v>
      </c>
      <c r="L25" s="151" t="s">
        <v>386</v>
      </c>
    </row>
    <row r="26" spans="1:12">
      <c r="A26" s="5"/>
      <c r="B26" s="3" t="str">
        <f>'Main Acc'!AN3</f>
        <v>Equipment purchase</v>
      </c>
      <c r="C26" s="156">
        <f>+'[1]Year end spend v budget'!C10</f>
        <v>78</v>
      </c>
      <c r="D26" s="153">
        <f>+'[1]Year end spend v budget'!B10</f>
        <v>78.790000000000006</v>
      </c>
      <c r="E26" s="153">
        <f t="shared" si="0"/>
        <v>-0.79000000000000625</v>
      </c>
      <c r="F26" s="150"/>
      <c r="G26" s="153">
        <f>+[2]Sheet1!F11</f>
        <v>204</v>
      </c>
      <c r="H26" s="153">
        <f>+'Main Acc'!Y142</f>
        <v>0</v>
      </c>
      <c r="I26" s="153">
        <f>+H26</f>
        <v>0</v>
      </c>
      <c r="J26" s="146"/>
      <c r="K26" s="153">
        <v>1070</v>
      </c>
      <c r="L26" s="151" t="s">
        <v>383</v>
      </c>
    </row>
    <row r="27" spans="1:12" s="31" customFormat="1">
      <c r="A27" s="5"/>
      <c r="B27" s="3" t="str">
        <f>'Main Acc'!AT3</f>
        <v>Pavilion Maintenance</v>
      </c>
      <c r="C27" s="156">
        <f>+'[1]Year end spend v budget'!C15</f>
        <v>1071</v>
      </c>
      <c r="D27" s="153">
        <f>+'[1]Year end spend v budget'!B15</f>
        <v>1900.08</v>
      </c>
      <c r="E27" s="153">
        <f>+C27-D27</f>
        <v>-829.07999999999993</v>
      </c>
      <c r="F27" s="146"/>
      <c r="G27" s="153">
        <f>+[2]Sheet1!F15</f>
        <v>1000</v>
      </c>
      <c r="H27" s="153">
        <f>+'Main Acc'!AG142</f>
        <v>156</v>
      </c>
      <c r="I27" s="153">
        <f>+G27</f>
        <v>1000</v>
      </c>
      <c r="J27" s="146"/>
      <c r="K27" s="153">
        <f>+G27</f>
        <v>1000</v>
      </c>
      <c r="L27" s="151" t="s">
        <v>383</v>
      </c>
    </row>
    <row r="28" spans="1:12">
      <c r="A28" s="5"/>
      <c r="B28" s="3" t="s">
        <v>59</v>
      </c>
      <c r="C28" s="156">
        <f>+'[1]Year end spend v budget'!C16</f>
        <v>1500</v>
      </c>
      <c r="D28" s="153">
        <f>+'[1]Year end spend v budget'!B16</f>
        <v>486.62</v>
      </c>
      <c r="E28" s="153">
        <f>+C28-D28</f>
        <v>1013.38</v>
      </c>
      <c r="F28" s="150"/>
      <c r="G28" s="153">
        <f>+[2]Sheet1!F22</f>
        <v>1500</v>
      </c>
      <c r="H28" s="153">
        <f>+'Main Acc'!AN142</f>
        <v>12102</v>
      </c>
      <c r="I28" s="153">
        <f>+G28</f>
        <v>1500</v>
      </c>
      <c r="J28" s="146"/>
      <c r="K28" s="153">
        <f>+G28</f>
        <v>1500</v>
      </c>
      <c r="L28" s="151" t="s">
        <v>383</v>
      </c>
    </row>
    <row r="29" spans="1:12">
      <c r="A29" s="5"/>
      <c r="B29" s="3" t="str">
        <f>'Main Acc'!AO3</f>
        <v>Recreation Maintenance</v>
      </c>
      <c r="C29" s="156">
        <f>+'[1]Year end spend v budget'!C11</f>
        <v>1836</v>
      </c>
      <c r="D29" s="153">
        <f>+'[1]Year end spend v budget'!B11</f>
        <v>23252.949999999997</v>
      </c>
      <c r="E29" s="153">
        <f t="shared" si="0"/>
        <v>-21416.949999999997</v>
      </c>
      <c r="F29" s="150"/>
      <c r="G29" s="153">
        <f>+[2]Sheet1!F12</f>
        <v>3746</v>
      </c>
      <c r="H29" s="153">
        <f>+'Main Acc'!Z142</f>
        <v>0</v>
      </c>
      <c r="I29" s="153">
        <f>+H29+1000</f>
        <v>1000</v>
      </c>
      <c r="J29" s="146"/>
      <c r="K29" s="153">
        <f>+I29/6*12</f>
        <v>2000</v>
      </c>
      <c r="L29" s="151" t="s">
        <v>383</v>
      </c>
    </row>
    <row r="30" spans="1:12">
      <c r="A30" s="5"/>
      <c r="B30" s="3" t="str">
        <f>'Main Acc'!AP3</f>
        <v>Playground Maintenance</v>
      </c>
      <c r="C30" s="156">
        <f>+'[1]Year end spend v budget'!C12</f>
        <v>1836</v>
      </c>
      <c r="D30" s="153">
        <f>+'[1]Year end spend v budget'!B12</f>
        <v>666</v>
      </c>
      <c r="E30" s="153">
        <f t="shared" si="0"/>
        <v>1170</v>
      </c>
      <c r="F30" s="146"/>
      <c r="G30" s="153"/>
      <c r="H30" s="153">
        <f>+'Main Acc'!AA142</f>
        <v>0</v>
      </c>
      <c r="I30" s="153">
        <f>+H30</f>
        <v>0</v>
      </c>
      <c r="J30" s="146"/>
      <c r="K30" s="153">
        <v>5000</v>
      </c>
      <c r="L30" s="147"/>
    </row>
    <row r="31" spans="1:12">
      <c r="A31" s="5"/>
      <c r="B31" s="3" t="s">
        <v>387</v>
      </c>
      <c r="C31" s="156"/>
      <c r="D31" s="153"/>
      <c r="E31" s="153"/>
      <c r="F31" s="146"/>
      <c r="G31" s="153"/>
      <c r="H31" s="153"/>
      <c r="I31" s="153"/>
      <c r="J31" s="146"/>
      <c r="K31" s="153">
        <v>1500</v>
      </c>
      <c r="L31" s="151" t="s">
        <v>388</v>
      </c>
    </row>
    <row r="32" spans="1:12">
      <c r="A32" s="5"/>
      <c r="B32" s="3" t="s">
        <v>389</v>
      </c>
      <c r="C32" s="156"/>
      <c r="D32" s="153"/>
      <c r="E32" s="153"/>
      <c r="F32" s="146"/>
      <c r="G32" s="153">
        <f>+[2]Sheet1!$F$25</f>
        <v>125</v>
      </c>
      <c r="H32" s="153"/>
      <c r="I32" s="153">
        <f>+G32</f>
        <v>125</v>
      </c>
      <c r="J32" s="146"/>
      <c r="K32" s="153">
        <f>+G32</f>
        <v>125</v>
      </c>
      <c r="L32" s="151" t="s">
        <v>390</v>
      </c>
    </row>
    <row r="33" spans="1:12">
      <c r="A33" s="5"/>
      <c r="B33" s="3"/>
      <c r="C33" s="157">
        <f>SUM(C25:C30)</f>
        <v>8973</v>
      </c>
      <c r="D33" s="157">
        <f>SUM(D25:D30)</f>
        <v>29228.439999999995</v>
      </c>
      <c r="E33" s="157">
        <f>SUM(E25:E30)</f>
        <v>-20255.439999999999</v>
      </c>
      <c r="F33" s="146"/>
      <c r="G33" s="157">
        <f>SUM(G25:G32)</f>
        <v>9280.0400000000009</v>
      </c>
      <c r="H33" s="157">
        <f>SUM(H25:H32)</f>
        <v>12258</v>
      </c>
      <c r="I33" s="157">
        <f>SUM(I25:I32)</f>
        <v>6073</v>
      </c>
      <c r="J33" s="146"/>
      <c r="K33" s="157">
        <f>SUM(K25:K32)</f>
        <v>14643</v>
      </c>
      <c r="L33" s="147"/>
    </row>
    <row r="34" spans="1:12">
      <c r="A34" s="60" t="s">
        <v>391</v>
      </c>
      <c r="B34" s="3"/>
      <c r="C34" s="156"/>
      <c r="D34" s="153"/>
      <c r="E34" s="153"/>
      <c r="F34" s="146"/>
      <c r="G34" s="146"/>
      <c r="H34" s="153"/>
      <c r="I34" s="153"/>
      <c r="J34" s="146"/>
      <c r="K34" s="153"/>
      <c r="L34" s="147"/>
    </row>
    <row r="35" spans="1:12">
      <c r="A35" s="5"/>
      <c r="B35" s="3" t="str">
        <f>'Main Acc'!AR3</f>
        <v>Barcombe Mills Rates</v>
      </c>
      <c r="C35" s="156">
        <f>+'[1]Year end spend v budget'!C13</f>
        <v>280</v>
      </c>
      <c r="D35" s="153">
        <f>+'[1]Year end spend v budget'!B13</f>
        <v>0</v>
      </c>
      <c r="E35" s="153">
        <f t="shared" si="0"/>
        <v>280</v>
      </c>
      <c r="F35" s="150"/>
      <c r="G35" s="153">
        <f>+[2]Sheet1!F13</f>
        <v>291.31200000000001</v>
      </c>
      <c r="H35" s="153">
        <f>+'Main Acc'!AB142</f>
        <v>-100</v>
      </c>
      <c r="I35" s="153">
        <f>+H35</f>
        <v>-100</v>
      </c>
      <c r="J35" s="146"/>
      <c r="K35" s="153">
        <f>+I35*1.02</f>
        <v>-102</v>
      </c>
      <c r="L35" s="151" t="s">
        <v>376</v>
      </c>
    </row>
    <row r="36" spans="1:12">
      <c r="A36" s="5"/>
      <c r="B36" s="3" t="s">
        <v>51</v>
      </c>
      <c r="C36" s="156">
        <f>+'[1]Year end spend v budget'!C14</f>
        <v>1071</v>
      </c>
      <c r="D36" s="153">
        <f>+'[1]Year end spend v budget'!B14</f>
        <v>2182.4</v>
      </c>
      <c r="E36" s="153">
        <f t="shared" si="0"/>
        <v>-1111.4000000000001</v>
      </c>
      <c r="F36" s="150"/>
      <c r="G36" s="153">
        <f>+[2]Sheet1!F14</f>
        <v>1000</v>
      </c>
      <c r="H36" s="153">
        <f>+'Main Acc'!AD142</f>
        <v>5105.4500000000007</v>
      </c>
      <c r="I36" s="153">
        <f>+H36/6*12</f>
        <v>10210.900000000001</v>
      </c>
      <c r="J36" s="146"/>
      <c r="K36" s="153">
        <f>+I36</f>
        <v>10210.900000000001</v>
      </c>
      <c r="L36" s="151" t="s">
        <v>383</v>
      </c>
    </row>
    <row r="37" spans="1:12">
      <c r="A37" s="5"/>
      <c r="B37" s="3"/>
      <c r="C37" s="157">
        <f>SUM(C35:C36)</f>
        <v>1351</v>
      </c>
      <c r="D37" s="157">
        <f t="shared" ref="D37:K37" si="5">SUM(D35:D36)</f>
        <v>2182.4</v>
      </c>
      <c r="E37" s="157">
        <f t="shared" si="5"/>
        <v>-831.40000000000009</v>
      </c>
      <c r="F37" s="150"/>
      <c r="G37" s="157">
        <f t="shared" si="5"/>
        <v>1291.3119999999999</v>
      </c>
      <c r="H37" s="157">
        <f t="shared" si="5"/>
        <v>5005.4500000000007</v>
      </c>
      <c r="I37" s="157">
        <f t="shared" si="5"/>
        <v>10110.900000000001</v>
      </c>
      <c r="J37" s="146"/>
      <c r="K37" s="157">
        <f t="shared" si="5"/>
        <v>10108.900000000001</v>
      </c>
      <c r="L37" s="147"/>
    </row>
    <row r="38" spans="1:12">
      <c r="A38" s="60" t="s">
        <v>53</v>
      </c>
      <c r="B38" s="3"/>
      <c r="C38" s="156"/>
      <c r="D38" s="153"/>
      <c r="E38" s="153"/>
      <c r="F38" s="150"/>
      <c r="G38" s="153"/>
      <c r="H38" s="153"/>
      <c r="I38" s="153"/>
      <c r="J38" s="146"/>
      <c r="K38" s="153"/>
      <c r="L38" s="147"/>
    </row>
    <row r="39" spans="1:12">
      <c r="A39" s="5"/>
      <c r="B39" s="3" t="s">
        <v>53</v>
      </c>
      <c r="C39" s="156">
        <f>+'[1]Year end spend v budget'!C18</f>
        <v>15000</v>
      </c>
      <c r="D39" s="153">
        <f>+'[1]Year end spend v budget'!B18</f>
        <v>480</v>
      </c>
      <c r="E39" s="153">
        <f>+C39-D39</f>
        <v>14520</v>
      </c>
      <c r="F39" s="150"/>
      <c r="G39" s="153">
        <f>+[2]Sheet1!$F$21</f>
        <v>1500</v>
      </c>
      <c r="H39" s="153">
        <f>+'Main Acc'!AO142</f>
        <v>1221.99</v>
      </c>
      <c r="I39" s="153">
        <f>+H39</f>
        <v>1221.99</v>
      </c>
      <c r="J39" s="146"/>
      <c r="K39" s="153">
        <v>1500</v>
      </c>
      <c r="L39" s="151" t="s">
        <v>392</v>
      </c>
    </row>
    <row r="40" spans="1:12">
      <c r="A40" s="5"/>
      <c r="B40" s="3"/>
      <c r="C40" s="157">
        <f>SUM(C38:C39)</f>
        <v>15000</v>
      </c>
      <c r="D40" s="157">
        <f t="shared" ref="D40:K40" si="6">SUM(D38:D39)</f>
        <v>480</v>
      </c>
      <c r="E40" s="157">
        <f t="shared" si="6"/>
        <v>14520</v>
      </c>
      <c r="F40" s="150"/>
      <c r="G40" s="157">
        <f t="shared" si="6"/>
        <v>1500</v>
      </c>
      <c r="H40" s="157">
        <f t="shared" si="6"/>
        <v>1221.99</v>
      </c>
      <c r="I40" s="157">
        <f t="shared" si="6"/>
        <v>1221.99</v>
      </c>
      <c r="J40" s="146"/>
      <c r="K40" s="157">
        <f t="shared" si="6"/>
        <v>1500</v>
      </c>
      <c r="L40" s="147"/>
    </row>
    <row r="41" spans="1:12">
      <c r="A41" s="60" t="s">
        <v>61</v>
      </c>
      <c r="B41" s="3"/>
      <c r="C41" s="156"/>
      <c r="D41" s="153"/>
      <c r="E41" s="153"/>
      <c r="F41" s="150"/>
      <c r="G41" s="153"/>
      <c r="H41" s="153"/>
      <c r="I41" s="153"/>
      <c r="J41" s="146"/>
      <c r="K41" s="153"/>
      <c r="L41" s="147"/>
    </row>
    <row r="42" spans="1:12">
      <c r="A42" s="5"/>
      <c r="B42" s="3" t="str">
        <f>'Main Acc'!BD3</f>
        <v>Neighbourhood Planning</v>
      </c>
      <c r="C42" s="156">
        <f>+'[1]Year end spend v budget'!C23</f>
        <v>1020</v>
      </c>
      <c r="D42" s="153">
        <f>+'[1]Year end spend v budget'!B23</f>
        <v>388.56</v>
      </c>
      <c r="E42" s="153">
        <f>+C42-D42</f>
        <v>631.44000000000005</v>
      </c>
      <c r="F42" s="150"/>
      <c r="G42" s="153">
        <f>+[2]Sheet1!$F$19</f>
        <v>5000</v>
      </c>
      <c r="H42" s="153">
        <f>+'Main Acc'!AR142</f>
        <v>349.3</v>
      </c>
      <c r="I42" s="153">
        <f>+H42+2796</f>
        <v>3145.3</v>
      </c>
      <c r="J42" s="146"/>
      <c r="K42" s="153">
        <v>5000</v>
      </c>
      <c r="L42" s="147" t="s">
        <v>393</v>
      </c>
    </row>
    <row r="43" spans="1:12">
      <c r="A43" s="5"/>
      <c r="B43" s="3"/>
      <c r="C43" s="157">
        <f>SUM(C41:C42)</f>
        <v>1020</v>
      </c>
      <c r="D43" s="157">
        <f t="shared" ref="D43:K43" si="7">SUM(D41:D42)</f>
        <v>388.56</v>
      </c>
      <c r="E43" s="157">
        <f t="shared" si="7"/>
        <v>631.44000000000005</v>
      </c>
      <c r="F43" s="150"/>
      <c r="G43" s="157">
        <f t="shared" si="7"/>
        <v>5000</v>
      </c>
      <c r="H43" s="157">
        <f t="shared" si="7"/>
        <v>349.3</v>
      </c>
      <c r="I43" s="157">
        <f t="shared" si="7"/>
        <v>3145.3</v>
      </c>
      <c r="J43" s="146"/>
      <c r="K43" s="157">
        <f t="shared" si="7"/>
        <v>5000</v>
      </c>
      <c r="L43" s="147"/>
    </row>
    <row r="44" spans="1:12">
      <c r="A44" s="60" t="s">
        <v>394</v>
      </c>
      <c r="B44" s="3"/>
      <c r="C44" s="156"/>
      <c r="D44" s="153"/>
      <c r="E44" s="153"/>
      <c r="F44" s="150"/>
      <c r="G44" s="153"/>
      <c r="H44" s="153"/>
      <c r="I44" s="153"/>
      <c r="J44" s="146"/>
      <c r="K44" s="153"/>
      <c r="L44" s="147"/>
    </row>
    <row r="45" spans="1:12">
      <c r="A45" s="5"/>
      <c r="B45" s="3" t="s">
        <v>31</v>
      </c>
      <c r="C45" s="156">
        <f>+'[1]Year end spend v budget'!C17</f>
        <v>400</v>
      </c>
      <c r="D45" s="153">
        <f>+'[1]Year end spend v budget'!B17</f>
        <v>250</v>
      </c>
      <c r="E45" s="153">
        <f t="shared" si="0"/>
        <v>150</v>
      </c>
      <c r="F45" s="153"/>
      <c r="G45" s="153">
        <f>+[2]Sheet1!F23</f>
        <v>400</v>
      </c>
      <c r="H45" s="153">
        <f>+'Main Acc'!AM142</f>
        <v>2522.2800000000002</v>
      </c>
      <c r="I45" s="153">
        <f>+H45</f>
        <v>2522.2800000000002</v>
      </c>
      <c r="J45" s="146"/>
      <c r="K45" s="153">
        <f>+G45</f>
        <v>400</v>
      </c>
      <c r="L45" s="151" t="s">
        <v>383</v>
      </c>
    </row>
    <row r="46" spans="1:12">
      <c r="A46" s="5"/>
      <c r="B46" s="3" t="e">
        <f>'Main Acc'!#REF!</f>
        <v>#REF!</v>
      </c>
      <c r="C46" s="156">
        <f>+'[1]Year end spend v budget'!C19</f>
        <v>0</v>
      </c>
      <c r="D46" s="153">
        <f>+'[1]Year end spend v budget'!B19</f>
        <v>0</v>
      </c>
      <c r="E46" s="153">
        <f t="shared" si="0"/>
        <v>0</v>
      </c>
      <c r="F46" s="158"/>
      <c r="G46" s="153">
        <v>0</v>
      </c>
      <c r="H46" s="153">
        <f>+'Main Acc'!AH142</f>
        <v>1317.73</v>
      </c>
      <c r="I46" s="153"/>
      <c r="J46" s="146"/>
      <c r="K46" s="153"/>
      <c r="L46" s="147"/>
    </row>
    <row r="47" spans="1:12">
      <c r="A47" s="5"/>
      <c r="B47" s="3"/>
      <c r="C47" s="157">
        <f>SUM(C45:C46)</f>
        <v>400</v>
      </c>
      <c r="D47" s="157">
        <f t="shared" ref="D47:K47" si="8">SUM(D45:D46)</f>
        <v>250</v>
      </c>
      <c r="E47" s="157">
        <f t="shared" si="8"/>
        <v>150</v>
      </c>
      <c r="F47" s="158"/>
      <c r="G47" s="157">
        <f t="shared" si="8"/>
        <v>400</v>
      </c>
      <c r="H47" s="157">
        <f t="shared" si="8"/>
        <v>3840.01</v>
      </c>
      <c r="I47" s="157">
        <f t="shared" si="8"/>
        <v>2522.2800000000002</v>
      </c>
      <c r="J47" s="146"/>
      <c r="K47" s="157">
        <f t="shared" si="8"/>
        <v>400</v>
      </c>
      <c r="L47" s="147"/>
    </row>
    <row r="48" spans="1:12">
      <c r="A48" s="5"/>
      <c r="B48" s="3"/>
      <c r="C48" s="157"/>
      <c r="D48" s="157"/>
      <c r="E48" s="157"/>
      <c r="F48" s="158"/>
      <c r="G48" s="157"/>
      <c r="H48" s="153"/>
      <c r="I48" s="153"/>
      <c r="J48" s="146"/>
      <c r="K48" s="153"/>
      <c r="L48" s="147"/>
    </row>
    <row r="49" spans="1:12">
      <c r="A49" s="5"/>
      <c r="B49" s="3" t="s">
        <v>57</v>
      </c>
      <c r="C49" s="157"/>
      <c r="D49" s="157"/>
      <c r="E49" s="157"/>
      <c r="F49" s="158"/>
      <c r="G49" s="157">
        <f>+[2]Sheet1!$F$24</f>
        <v>1000</v>
      </c>
      <c r="H49" s="153">
        <f>+'Main Acc'!AL142</f>
        <v>519.6</v>
      </c>
      <c r="I49" s="153">
        <f>+H49</f>
        <v>519.6</v>
      </c>
      <c r="J49" s="146"/>
      <c r="K49" s="153">
        <v>1000</v>
      </c>
      <c r="L49" s="151" t="s">
        <v>392</v>
      </c>
    </row>
    <row r="50" spans="1:12">
      <c r="A50" s="5"/>
      <c r="B50" s="3"/>
      <c r="C50" s="153"/>
      <c r="D50" s="153"/>
      <c r="E50" s="153"/>
      <c r="F50" s="153"/>
      <c r="G50" s="153"/>
      <c r="H50" s="153"/>
      <c r="I50" s="153"/>
      <c r="J50" s="146"/>
      <c r="K50" s="153"/>
      <c r="L50" s="147"/>
    </row>
    <row r="51" spans="1:12">
      <c r="A51" s="5"/>
      <c r="B51" s="60" t="s">
        <v>28</v>
      </c>
      <c r="C51" s="159">
        <f>+C11+C19+C23+C33+C37+C40+C43+C47</f>
        <v>40167.407999999996</v>
      </c>
      <c r="D51" s="159">
        <f>+D11+D19+D23+D33+D37+D40+D43+D47</f>
        <v>47591.229999999996</v>
      </c>
      <c r="E51" s="159">
        <f>+E11+E19+E23+E33+E37+E40+E43+E47</f>
        <v>-7423.8219999999983</v>
      </c>
      <c r="F51" s="153"/>
      <c r="G51" s="159">
        <f>+G11+G19+G23+G33+G37+G40+G43+G47+G49</f>
        <v>32176.222536000001</v>
      </c>
      <c r="H51" s="159">
        <f>+H11+H19+H23+H33+H37+H40+H43+H47+H49</f>
        <v>78504.03</v>
      </c>
      <c r="I51" s="159">
        <f>+I11+I19+I23+I33+I37+I40+I43+I47+I49</f>
        <v>80419.24000000002</v>
      </c>
      <c r="J51" s="146"/>
      <c r="K51" s="159">
        <f>+K11+K19+K23+K33+K37+K40+K43+K47-K42-K31</f>
        <v>85587.771999999997</v>
      </c>
      <c r="L51" s="147"/>
    </row>
    <row r="52" spans="1:12">
      <c r="A52" s="5"/>
      <c r="B52" s="3"/>
      <c r="C52" s="156"/>
      <c r="D52" s="153"/>
      <c r="E52" s="153"/>
      <c r="F52" s="153"/>
      <c r="G52" s="153"/>
      <c r="H52" s="153"/>
      <c r="I52" s="153"/>
      <c r="J52" s="146"/>
      <c r="K52" s="153"/>
      <c r="L52" s="147"/>
    </row>
    <row r="53" spans="1:12">
      <c r="A53" s="5"/>
      <c r="B53" s="3"/>
      <c r="C53" s="156"/>
      <c r="D53" s="156"/>
      <c r="E53" s="156"/>
      <c r="F53" s="153"/>
      <c r="G53" s="160" t="s">
        <v>64</v>
      </c>
      <c r="H53" s="156">
        <f>+'Main Acc'!AT142</f>
        <v>1228.8</v>
      </c>
      <c r="I53" s="156"/>
      <c r="J53" s="146"/>
      <c r="K53" s="156">
        <f>+G51*1.02</f>
        <v>32819.746986720005</v>
      </c>
      <c r="L53" s="147"/>
    </row>
    <row r="54" spans="1:12">
      <c r="A54" s="5"/>
      <c r="B54" s="3"/>
      <c r="C54" s="150"/>
      <c r="D54" s="146"/>
      <c r="E54" s="146"/>
      <c r="F54" s="146"/>
      <c r="G54" s="146"/>
      <c r="H54" s="146">
        <f>+H51-H53</f>
        <v>77275.23</v>
      </c>
      <c r="I54" s="146"/>
      <c r="J54" s="146"/>
      <c r="K54" s="146">
        <f>+K53-K51</f>
        <v>-52768.025013279992</v>
      </c>
      <c r="L54" s="147"/>
    </row>
    <row r="55" spans="1:12">
      <c r="A55" s="5"/>
      <c r="B55" s="3"/>
      <c r="C55" s="150"/>
      <c r="D55" s="146"/>
      <c r="E55" s="146"/>
      <c r="F55" s="146"/>
      <c r="G55" s="146"/>
      <c r="H55" s="146"/>
      <c r="I55" s="146"/>
      <c r="J55" s="146"/>
      <c r="K55" s="156" t="e">
        <f>+'Main Acc'!T5+'Main Acc'!#REF!</f>
        <v>#REF!</v>
      </c>
      <c r="L55" s="147"/>
    </row>
    <row r="56" spans="1:12">
      <c r="A56" s="5"/>
      <c r="B56" s="3"/>
      <c r="C56" s="150"/>
      <c r="D56" s="146"/>
      <c r="E56" s="146"/>
      <c r="F56" s="146"/>
      <c r="G56" s="146"/>
      <c r="H56" s="146"/>
      <c r="I56" s="146"/>
      <c r="J56" s="146"/>
      <c r="K56" s="146" t="e">
        <f>+K55*1.02</f>
        <v>#REF!</v>
      </c>
      <c r="L56" s="147"/>
    </row>
    <row r="57" spans="1:12">
      <c r="A57" s="5"/>
      <c r="B57" s="3"/>
      <c r="C57" s="150"/>
      <c r="D57" s="146"/>
      <c r="E57" s="146"/>
      <c r="F57" s="146"/>
      <c r="G57" s="146"/>
      <c r="H57" s="146"/>
      <c r="I57" s="146"/>
      <c r="J57" s="146"/>
      <c r="K57" s="146"/>
      <c r="L57" s="147"/>
    </row>
    <row r="58" spans="1:12">
      <c r="A58" s="5"/>
      <c r="B58" s="3"/>
      <c r="C58" s="150"/>
      <c r="D58" s="146"/>
      <c r="E58" s="146"/>
      <c r="F58" s="146"/>
      <c r="G58" s="146"/>
      <c r="H58" s="146"/>
      <c r="I58" s="146"/>
      <c r="J58" s="146"/>
      <c r="K58" s="146">
        <f>K51-I51</f>
        <v>5168.5319999999774</v>
      </c>
      <c r="L58" s="147"/>
    </row>
    <row r="59" spans="1:12">
      <c r="C59" s="131"/>
    </row>
    <row r="60" spans="1:12">
      <c r="C60" s="131"/>
    </row>
    <row r="61" spans="1:12">
      <c r="C61" s="131"/>
    </row>
    <row r="62" spans="1:12">
      <c r="C62" s="131"/>
    </row>
  </sheetData>
  <mergeCells count="2">
    <mergeCell ref="C2:E2"/>
    <mergeCell ref="G2:I2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B2:M57"/>
  <sheetViews>
    <sheetView zoomScale="85" zoomScaleNormal="85" workbookViewId="0">
      <pane xSplit="2" ySplit="6" topLeftCell="D7" activePane="bottomRight" state="frozen"/>
      <selection pane="bottomRight" activeCell="K30" sqref="K30"/>
      <selection pane="bottomLeft" activeCell="A7" sqref="A7"/>
      <selection pane="topRight" activeCell="C1" sqref="C1"/>
    </sheetView>
  </sheetViews>
  <sheetFormatPr defaultRowHeight="12.75"/>
  <cols>
    <col min="2" max="2" width="31" customWidth="1"/>
    <col min="3" max="3" width="57.28515625" bestFit="1" customWidth="1"/>
    <col min="10" max="10" width="9.7109375" customWidth="1"/>
    <col min="11" max="11" width="15.85546875" bestFit="1" customWidth="1"/>
    <col min="12" max="12" width="10.5703125" bestFit="1" customWidth="1"/>
    <col min="13" max="13" width="20.140625" bestFit="1" customWidth="1"/>
  </cols>
  <sheetData>
    <row r="2" spans="2:13">
      <c r="B2" s="31" t="s">
        <v>395</v>
      </c>
    </row>
    <row r="4" spans="2:13" s="31" customFormat="1">
      <c r="B4" s="108" t="s">
        <v>396</v>
      </c>
      <c r="C4" s="108" t="s">
        <v>397</v>
      </c>
      <c r="D4" s="317" t="s">
        <v>398</v>
      </c>
      <c r="E4" s="318"/>
      <c r="F4" s="318"/>
      <c r="G4" s="318"/>
      <c r="H4" s="319"/>
      <c r="I4" s="116"/>
      <c r="J4" s="31" t="s">
        <v>399</v>
      </c>
      <c r="K4" s="31" t="s">
        <v>400</v>
      </c>
    </row>
    <row r="5" spans="2:13">
      <c r="D5">
        <v>1</v>
      </c>
      <c r="E5">
        <v>2</v>
      </c>
      <c r="F5">
        <v>3</v>
      </c>
      <c r="G5">
        <v>4</v>
      </c>
      <c r="H5" s="11" t="s">
        <v>401</v>
      </c>
      <c r="I5" s="11"/>
      <c r="J5" s="11" t="s">
        <v>402</v>
      </c>
      <c r="K5" s="11" t="s">
        <v>403</v>
      </c>
      <c r="L5" s="11" t="s">
        <v>31</v>
      </c>
      <c r="M5" s="11" t="s">
        <v>25</v>
      </c>
    </row>
    <row r="6" spans="2:13">
      <c r="J6" s="31" t="s">
        <v>363</v>
      </c>
      <c r="K6" s="31" t="s">
        <v>363</v>
      </c>
      <c r="L6" s="31" t="s">
        <v>363</v>
      </c>
    </row>
    <row r="7" spans="2:13">
      <c r="B7" s="31" t="s">
        <v>404</v>
      </c>
      <c r="K7" s="101"/>
      <c r="L7" s="101"/>
    </row>
    <row r="8" spans="2:13">
      <c r="B8" s="11" t="s">
        <v>405</v>
      </c>
      <c r="K8" s="101"/>
      <c r="L8" s="101"/>
    </row>
    <row r="9" spans="2:13">
      <c r="B9" s="11" t="s">
        <v>406</v>
      </c>
      <c r="K9" s="101"/>
      <c r="L9" s="101"/>
    </row>
    <row r="10" spans="2:13">
      <c r="B10" s="11" t="s">
        <v>407</v>
      </c>
      <c r="K10" s="101"/>
      <c r="L10" s="101"/>
    </row>
    <row r="11" spans="2:13">
      <c r="B11" s="11" t="s">
        <v>408</v>
      </c>
      <c r="K11" s="101"/>
      <c r="L11" s="101"/>
    </row>
    <row r="12" spans="2:13">
      <c r="B12" t="s">
        <v>409</v>
      </c>
      <c r="K12" s="101"/>
      <c r="L12" s="101"/>
    </row>
    <row r="13" spans="2:13">
      <c r="B13" s="11" t="s">
        <v>410</v>
      </c>
      <c r="K13" s="101"/>
      <c r="L13" s="101"/>
    </row>
    <row r="14" spans="2:13">
      <c r="B14" s="11" t="s">
        <v>411</v>
      </c>
      <c r="C14" s="11" t="s">
        <v>412</v>
      </c>
      <c r="D14" s="144">
        <v>1225</v>
      </c>
      <c r="K14" s="101"/>
      <c r="L14" s="101"/>
    </row>
    <row r="15" spans="2:13">
      <c r="B15" s="11" t="s">
        <v>116</v>
      </c>
      <c r="C15" s="11" t="s">
        <v>413</v>
      </c>
      <c r="E15" s="110"/>
      <c r="F15" s="110"/>
      <c r="G15" s="110"/>
      <c r="K15" s="101">
        <v>20000</v>
      </c>
      <c r="L15" s="101">
        <v>50000</v>
      </c>
      <c r="M15" s="11" t="s">
        <v>414</v>
      </c>
    </row>
    <row r="16" spans="2:13">
      <c r="B16" s="11" t="s">
        <v>415</v>
      </c>
      <c r="K16" s="101"/>
      <c r="L16" s="101"/>
    </row>
    <row r="17" spans="2:12">
      <c r="B17" s="11" t="s">
        <v>416</v>
      </c>
      <c r="K17" s="101"/>
      <c r="L17" s="101"/>
    </row>
    <row r="18" spans="2:12">
      <c r="B18" s="11" t="s">
        <v>417</v>
      </c>
      <c r="C18" s="11" t="s">
        <v>418</v>
      </c>
      <c r="D18" s="144">
        <v>1335</v>
      </c>
      <c r="K18" s="101"/>
      <c r="L18" s="101"/>
    </row>
    <row r="19" spans="2:12">
      <c r="B19" s="11" t="s">
        <v>419</v>
      </c>
      <c r="K19" s="101"/>
      <c r="L19" s="101"/>
    </row>
    <row r="20" spans="2:12">
      <c r="B20" s="11" t="s">
        <v>420</v>
      </c>
      <c r="C20" s="11" t="s">
        <v>421</v>
      </c>
      <c r="D20" s="144">
        <v>1080</v>
      </c>
      <c r="K20" s="101">
        <v>600</v>
      </c>
      <c r="L20" s="101"/>
    </row>
    <row r="21" spans="2:12">
      <c r="B21" s="11"/>
      <c r="K21" s="101"/>
      <c r="L21" s="101"/>
    </row>
    <row r="22" spans="2:12">
      <c r="B22" s="31" t="s">
        <v>422</v>
      </c>
      <c r="K22" s="101"/>
      <c r="L22" s="101"/>
    </row>
    <row r="23" spans="2:12">
      <c r="B23" s="11" t="s">
        <v>423</v>
      </c>
      <c r="K23" s="101"/>
      <c r="L23" s="101"/>
    </row>
    <row r="24" spans="2:12">
      <c r="B24" s="11" t="s">
        <v>424</v>
      </c>
      <c r="K24" s="101"/>
      <c r="L24" s="101"/>
    </row>
    <row r="25" spans="2:12">
      <c r="B25" s="11" t="s">
        <v>425</v>
      </c>
      <c r="K25" s="101"/>
      <c r="L25" s="101"/>
    </row>
    <row r="26" spans="2:12">
      <c r="B26" s="11" t="s">
        <v>54</v>
      </c>
      <c r="K26" s="101"/>
      <c r="L26" s="101"/>
    </row>
    <row r="27" spans="2:12">
      <c r="B27" s="11"/>
      <c r="K27" s="101"/>
      <c r="L27" s="101"/>
    </row>
    <row r="28" spans="2:12">
      <c r="B28" s="31" t="s">
        <v>426</v>
      </c>
      <c r="K28" s="101"/>
      <c r="L28" s="101"/>
    </row>
    <row r="29" spans="2:12">
      <c r="B29" s="11" t="s">
        <v>427</v>
      </c>
      <c r="K29" s="101">
        <v>20000</v>
      </c>
      <c r="L29" s="101"/>
    </row>
    <row r="30" spans="2:12">
      <c r="B30" s="11" t="s">
        <v>428</v>
      </c>
      <c r="K30" s="101"/>
      <c r="L30" s="101"/>
    </row>
    <row r="31" spans="2:12">
      <c r="B31" s="11" t="s">
        <v>429</v>
      </c>
      <c r="C31" s="11" t="s">
        <v>430</v>
      </c>
      <c r="K31" s="101"/>
      <c r="L31" s="101"/>
    </row>
    <row r="32" spans="2:12">
      <c r="B32" s="11" t="s">
        <v>431</v>
      </c>
      <c r="C32" s="11" t="s">
        <v>432</v>
      </c>
      <c r="K32" s="101"/>
      <c r="L32" s="101"/>
    </row>
    <row r="33" spans="2:12">
      <c r="B33" s="11" t="s">
        <v>433</v>
      </c>
      <c r="C33" s="11" t="s">
        <v>434</v>
      </c>
      <c r="K33" s="101"/>
      <c r="L33" s="101"/>
    </row>
    <row r="34" spans="2:12">
      <c r="B34" s="11" t="s">
        <v>435</v>
      </c>
      <c r="K34" s="101"/>
      <c r="L34" s="101"/>
    </row>
    <row r="35" spans="2:12">
      <c r="B35" s="11" t="s">
        <v>436</v>
      </c>
      <c r="K35" s="101"/>
      <c r="L35" s="101"/>
    </row>
    <row r="36" spans="2:12">
      <c r="B36" s="11" t="s">
        <v>437</v>
      </c>
      <c r="C36" s="11" t="s">
        <v>438</v>
      </c>
      <c r="K36" s="101"/>
      <c r="L36" s="101"/>
    </row>
    <row r="37" spans="2:12">
      <c r="B37" s="11" t="s">
        <v>439</v>
      </c>
      <c r="K37" s="101"/>
      <c r="L37" s="101"/>
    </row>
    <row r="38" spans="2:12">
      <c r="B38" s="11" t="s">
        <v>440</v>
      </c>
      <c r="K38" s="101"/>
      <c r="L38" s="101"/>
    </row>
    <row r="39" spans="2:12">
      <c r="B39" s="11" t="s">
        <v>441</v>
      </c>
      <c r="K39" s="101"/>
      <c r="L39" s="101"/>
    </row>
    <row r="40" spans="2:12">
      <c r="B40" s="11" t="s">
        <v>442</v>
      </c>
      <c r="C40" s="11" t="s">
        <v>443</v>
      </c>
      <c r="D40" s="144">
        <v>490.8</v>
      </c>
      <c r="K40" s="101"/>
      <c r="L40" s="101"/>
    </row>
    <row r="41" spans="2:12">
      <c r="B41" s="11" t="s">
        <v>444</v>
      </c>
      <c r="K41" s="101"/>
      <c r="L41" s="101"/>
    </row>
    <row r="42" spans="2:12">
      <c r="B42" s="11" t="s">
        <v>445</v>
      </c>
      <c r="K42" s="101"/>
      <c r="L42" s="101"/>
    </row>
    <row r="43" spans="2:12">
      <c r="B43" s="11"/>
      <c r="K43" s="101"/>
      <c r="L43" s="101"/>
    </row>
    <row r="44" spans="2:12">
      <c r="B44" s="31" t="s">
        <v>446</v>
      </c>
      <c r="K44" s="101"/>
      <c r="L44" s="101"/>
    </row>
    <row r="45" spans="2:12">
      <c r="B45" s="11" t="s">
        <v>419</v>
      </c>
      <c r="K45" s="101"/>
      <c r="L45" s="101"/>
    </row>
    <row r="46" spans="2:12">
      <c r="B46" s="11" t="s">
        <v>447</v>
      </c>
      <c r="K46" s="101"/>
      <c r="L46" s="101"/>
    </row>
    <row r="47" spans="2:12">
      <c r="K47" s="101"/>
      <c r="L47" s="101"/>
    </row>
    <row r="48" spans="2:12">
      <c r="B48" s="31" t="s">
        <v>448</v>
      </c>
      <c r="K48" s="101"/>
      <c r="L48" s="101"/>
    </row>
    <row r="49" spans="2:12">
      <c r="B49" s="11" t="s">
        <v>449</v>
      </c>
      <c r="F49" t="s">
        <v>450</v>
      </c>
      <c r="K49" s="101"/>
      <c r="L49" s="101"/>
    </row>
    <row r="50" spans="2:12">
      <c r="B50" s="11" t="s">
        <v>451</v>
      </c>
      <c r="K50" s="101"/>
      <c r="L50" s="101"/>
    </row>
    <row r="51" spans="2:12">
      <c r="B51" s="11" t="s">
        <v>452</v>
      </c>
      <c r="C51" s="11" t="s">
        <v>453</v>
      </c>
      <c r="D51" s="144">
        <v>384.95</v>
      </c>
      <c r="K51" s="101"/>
      <c r="L51" s="101"/>
    </row>
    <row r="52" spans="2:12">
      <c r="B52" s="11" t="s">
        <v>454</v>
      </c>
      <c r="K52" s="101"/>
      <c r="L52" s="101"/>
    </row>
    <row r="53" spans="2:12">
      <c r="B53" s="11" t="s">
        <v>419</v>
      </c>
      <c r="K53" s="101"/>
      <c r="L53" s="101"/>
    </row>
    <row r="54" spans="2:12">
      <c r="B54" s="11" t="s">
        <v>455</v>
      </c>
      <c r="K54" s="101"/>
      <c r="L54" s="101"/>
    </row>
    <row r="55" spans="2:12">
      <c r="B55" s="11" t="s">
        <v>456</v>
      </c>
      <c r="K55" s="101"/>
      <c r="L55" s="101"/>
    </row>
    <row r="56" spans="2:12">
      <c r="K56" s="101"/>
      <c r="L56" s="101"/>
    </row>
    <row r="57" spans="2:12">
      <c r="B57" t="s">
        <v>457</v>
      </c>
      <c r="E57">
        <v>200</v>
      </c>
    </row>
  </sheetData>
  <mergeCells count="1">
    <mergeCell ref="D4:H4"/>
  </mergeCells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H29"/>
  <sheetViews>
    <sheetView workbookViewId="0">
      <selection activeCell="B15" sqref="B15"/>
    </sheetView>
  </sheetViews>
  <sheetFormatPr defaultRowHeight="12.75"/>
  <cols>
    <col min="1" max="1" width="13.42578125" bestFit="1" customWidth="1"/>
    <col min="2" max="2" width="17.42578125" style="13" bestFit="1" customWidth="1"/>
    <col min="3" max="3" width="18" bestFit="1" customWidth="1"/>
    <col min="4" max="4" width="30.28515625" bestFit="1" customWidth="1"/>
    <col min="6" max="6" width="9.7109375" bestFit="1" customWidth="1"/>
    <col min="7" max="7" width="21.140625" hidden="1" customWidth="1"/>
  </cols>
  <sheetData>
    <row r="3" spans="1:8">
      <c r="A3" s="5" t="s">
        <v>458</v>
      </c>
      <c r="B3" s="14" t="s">
        <v>459</v>
      </c>
      <c r="C3" s="3" t="s">
        <v>25</v>
      </c>
      <c r="D3" s="5" t="s">
        <v>460</v>
      </c>
      <c r="E3" s="5" t="s">
        <v>363</v>
      </c>
      <c r="F3" s="5" t="s">
        <v>461</v>
      </c>
      <c r="G3" s="5" t="s">
        <v>462</v>
      </c>
    </row>
    <row r="4" spans="1:8" ht="12.75" customHeight="1">
      <c r="A4" s="3" t="s">
        <v>463</v>
      </c>
      <c r="B4" s="143" t="s">
        <v>464</v>
      </c>
      <c r="C4" s="55" t="s">
        <v>465</v>
      </c>
      <c r="D4" s="119" t="s">
        <v>80</v>
      </c>
      <c r="E4" s="5">
        <v>347</v>
      </c>
      <c r="F4" s="5"/>
      <c r="G4" s="5">
        <f>'Main Acc'!L17</f>
        <v>0</v>
      </c>
    </row>
    <row r="5" spans="1:8" ht="14.25" customHeight="1">
      <c r="A5" s="3" t="s">
        <v>466</v>
      </c>
      <c r="B5" s="143" t="s">
        <v>464</v>
      </c>
      <c r="C5" s="55"/>
      <c r="D5" s="119" t="s">
        <v>69</v>
      </c>
      <c r="E5" s="5">
        <v>463.5</v>
      </c>
      <c r="F5" s="5"/>
      <c r="G5" s="183" t="str">
        <f>'Main Acc'!B130</f>
        <v>PKF Audit</v>
      </c>
    </row>
    <row r="6" spans="1:8" ht="14.25" customHeight="1">
      <c r="A6" s="3" t="s">
        <v>467</v>
      </c>
      <c r="B6" s="143" t="s">
        <v>464</v>
      </c>
      <c r="C6" s="53"/>
      <c r="D6" s="118" t="s">
        <v>75</v>
      </c>
      <c r="E6" s="5">
        <v>463.5</v>
      </c>
      <c r="F6" s="5"/>
      <c r="G6" s="5">
        <f>'Main Acc'!L19</f>
        <v>0</v>
      </c>
    </row>
    <row r="7" spans="1:8" ht="12.75" customHeight="1">
      <c r="A7" s="3" t="s">
        <v>468</v>
      </c>
      <c r="B7" s="143" t="s">
        <v>464</v>
      </c>
      <c r="C7" s="53"/>
      <c r="D7" s="118" t="s">
        <v>72</v>
      </c>
      <c r="E7" s="5">
        <v>300</v>
      </c>
      <c r="F7" s="5"/>
      <c r="G7" s="5">
        <f>'Main Acc'!L26</f>
        <v>0</v>
      </c>
    </row>
    <row r="8" spans="1:8" ht="12.75" customHeight="1">
      <c r="A8" s="3" t="s">
        <v>469</v>
      </c>
      <c r="B8" s="143" t="s">
        <v>464</v>
      </c>
      <c r="C8" s="53"/>
      <c r="D8" s="118" t="s">
        <v>78</v>
      </c>
      <c r="E8" s="5">
        <v>360</v>
      </c>
      <c r="F8" s="5"/>
      <c r="G8" s="5">
        <f>'Main Acc'!L40</f>
        <v>0</v>
      </c>
    </row>
    <row r="9" spans="1:8" ht="12" customHeight="1">
      <c r="A9" s="3" t="s">
        <v>470</v>
      </c>
      <c r="B9" s="143" t="s">
        <v>464</v>
      </c>
      <c r="C9" s="53"/>
      <c r="D9" s="118" t="s">
        <v>471</v>
      </c>
      <c r="E9" s="5">
        <v>463.5</v>
      </c>
      <c r="F9" s="5"/>
      <c r="G9" s="5">
        <f>'Main Acc'!L41</f>
        <v>0</v>
      </c>
      <c r="H9">
        <f>SUM(E4:E9)</f>
        <v>2397.5</v>
      </c>
    </row>
    <row r="10" spans="1:8">
      <c r="A10" s="3" t="s">
        <v>472</v>
      </c>
      <c r="B10" s="15">
        <v>43831</v>
      </c>
      <c r="C10" s="53"/>
      <c r="D10" s="118" t="s">
        <v>473</v>
      </c>
      <c r="E10" s="5"/>
      <c r="F10" s="5"/>
      <c r="G10" s="5"/>
    </row>
    <row r="11" spans="1:8">
      <c r="A11" s="3" t="s">
        <v>474</v>
      </c>
      <c r="B11" s="15">
        <v>43831</v>
      </c>
      <c r="C11" s="53"/>
      <c r="D11" s="118" t="s">
        <v>475</v>
      </c>
      <c r="E11" s="5"/>
      <c r="F11" s="5"/>
      <c r="G11" s="5"/>
    </row>
    <row r="12" spans="1:8">
      <c r="A12" s="3" t="s">
        <v>476</v>
      </c>
      <c r="B12" s="15">
        <v>43831</v>
      </c>
      <c r="C12" s="53"/>
      <c r="D12" s="118" t="s">
        <v>477</v>
      </c>
      <c r="E12" s="5"/>
      <c r="F12" s="5"/>
      <c r="G12" s="5"/>
    </row>
    <row r="13" spans="1:8">
      <c r="A13" s="3" t="s">
        <v>478</v>
      </c>
      <c r="B13" s="15">
        <v>43739</v>
      </c>
      <c r="C13" s="53" t="s">
        <v>479</v>
      </c>
      <c r="D13" s="118" t="s">
        <v>480</v>
      </c>
      <c r="E13" s="5">
        <v>25</v>
      </c>
      <c r="F13" s="5"/>
      <c r="G13" s="5"/>
    </row>
    <row r="14" spans="1:8">
      <c r="A14" s="3" t="s">
        <v>481</v>
      </c>
      <c r="B14" s="15">
        <v>43770</v>
      </c>
      <c r="C14" s="53" t="s">
        <v>465</v>
      </c>
      <c r="D14" s="118" t="s">
        <v>482</v>
      </c>
      <c r="E14" s="5">
        <v>15</v>
      </c>
      <c r="F14" s="5"/>
      <c r="G14" s="5"/>
    </row>
    <row r="15" spans="1:8">
      <c r="A15" s="3" t="s">
        <v>483</v>
      </c>
      <c r="B15" s="15"/>
      <c r="C15" s="53"/>
      <c r="D15" s="118"/>
      <c r="E15" s="5"/>
      <c r="F15" s="5"/>
      <c r="G15" s="5"/>
    </row>
    <row r="16" spans="1:8">
      <c r="A16" s="3" t="s">
        <v>484</v>
      </c>
      <c r="B16" s="15"/>
      <c r="C16" s="53"/>
      <c r="D16" s="118"/>
      <c r="E16" s="5"/>
      <c r="F16" s="5"/>
      <c r="G16" s="5"/>
    </row>
    <row r="17" spans="1:7">
      <c r="A17" s="3" t="s">
        <v>485</v>
      </c>
      <c r="B17" s="15"/>
      <c r="C17" s="53"/>
      <c r="D17" s="118"/>
      <c r="E17" s="5"/>
      <c r="F17" s="5"/>
      <c r="G17" s="5"/>
    </row>
    <row r="18" spans="1:7">
      <c r="A18" s="3" t="s">
        <v>486</v>
      </c>
      <c r="B18" s="15"/>
      <c r="C18" s="53"/>
      <c r="D18" s="118"/>
      <c r="E18" s="5"/>
      <c r="F18" s="5"/>
      <c r="G18" s="5"/>
    </row>
    <row r="19" spans="1:7">
      <c r="A19" s="3" t="s">
        <v>487</v>
      </c>
      <c r="B19" s="15"/>
      <c r="C19" s="53"/>
      <c r="D19" s="118"/>
      <c r="E19" s="5"/>
      <c r="F19" s="5"/>
      <c r="G19" s="5"/>
    </row>
    <row r="20" spans="1:7">
      <c r="A20" s="3" t="s">
        <v>488</v>
      </c>
      <c r="B20" s="15"/>
      <c r="C20" s="53"/>
      <c r="D20" s="118"/>
      <c r="E20" s="5"/>
      <c r="F20" s="5"/>
      <c r="G20" s="5"/>
    </row>
    <row r="21" spans="1:7">
      <c r="A21" s="3" t="s">
        <v>489</v>
      </c>
      <c r="B21" s="14"/>
      <c r="C21" s="53"/>
      <c r="D21" s="118"/>
      <c r="E21" s="5"/>
      <c r="F21" s="5"/>
      <c r="G21" s="5"/>
    </row>
    <row r="29" spans="1:7">
      <c r="E29">
        <f>SUM(E4:E21)</f>
        <v>2437.5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7F36D-FEE0-48BB-9F2A-538F60C40105}">
  <dimension ref="A1:H37"/>
  <sheetViews>
    <sheetView topLeftCell="A8" workbookViewId="0">
      <selection activeCell="A38" sqref="A38"/>
    </sheetView>
  </sheetViews>
  <sheetFormatPr defaultColWidth="9.140625" defaultRowHeight="12.75"/>
  <cols>
    <col min="1" max="16384" width="9.140625" style="204"/>
  </cols>
  <sheetData>
    <row r="1" spans="1:8">
      <c r="A1" s="203" t="s">
        <v>490</v>
      </c>
    </row>
    <row r="3" spans="1:8">
      <c r="A3" s="203" t="s">
        <v>491</v>
      </c>
      <c r="E3" s="203" t="s">
        <v>492</v>
      </c>
    </row>
    <row r="5" spans="1:8">
      <c r="A5" s="203" t="s">
        <v>493</v>
      </c>
    </row>
    <row r="8" spans="1:8">
      <c r="A8" s="205" t="s">
        <v>396</v>
      </c>
      <c r="H8" s="204" t="s">
        <v>28</v>
      </c>
    </row>
    <row r="9" spans="1:8">
      <c r="H9" s="204" t="s">
        <v>494</v>
      </c>
    </row>
    <row r="10" spans="1:8">
      <c r="A10" s="204" t="s">
        <v>404</v>
      </c>
      <c r="H10" s="204">
        <v>0</v>
      </c>
    </row>
    <row r="11" spans="1:8">
      <c r="A11" s="204" t="s">
        <v>495</v>
      </c>
      <c r="H11" s="204">
        <v>0</v>
      </c>
    </row>
    <row r="12" spans="1:8">
      <c r="A12" s="204" t="s">
        <v>496</v>
      </c>
      <c r="H12" s="204">
        <v>0</v>
      </c>
    </row>
    <row r="13" spans="1:8">
      <c r="A13" s="204" t="s">
        <v>446</v>
      </c>
      <c r="H13" s="204">
        <v>0</v>
      </c>
    </row>
    <row r="14" spans="1:8">
      <c r="A14" s="204" t="s">
        <v>497</v>
      </c>
      <c r="H14" s="204">
        <v>235539</v>
      </c>
    </row>
    <row r="15" spans="1:8">
      <c r="A15" s="204" t="s">
        <v>116</v>
      </c>
      <c r="H15" s="204">
        <v>12420</v>
      </c>
    </row>
    <row r="17" spans="1:8">
      <c r="A17" s="204" t="s">
        <v>498</v>
      </c>
    </row>
    <row r="18" spans="1:8">
      <c r="A18" s="204" t="s">
        <v>499</v>
      </c>
    </row>
    <row r="19" spans="1:8">
      <c r="A19" s="204" t="s">
        <v>500</v>
      </c>
      <c r="H19" s="204">
        <v>17943</v>
      </c>
    </row>
    <row r="20" spans="1:8">
      <c r="A20" s="204" t="s">
        <v>501</v>
      </c>
      <c r="H20" s="204">
        <v>22225</v>
      </c>
    </row>
    <row r="21" spans="1:8">
      <c r="A21" s="204" t="s">
        <v>457</v>
      </c>
      <c r="H21" s="204">
        <v>1055</v>
      </c>
    </row>
    <row r="23" spans="1:8" ht="15">
      <c r="H23" s="206">
        <f>SUM(H10:H21)</f>
        <v>289182</v>
      </c>
    </row>
    <row r="28" spans="1:8">
      <c r="A28" s="203" t="s">
        <v>502</v>
      </c>
    </row>
    <row r="30" spans="1:8">
      <c r="A30" s="204" t="s">
        <v>503</v>
      </c>
    </row>
    <row r="31" spans="1:8">
      <c r="A31" s="204" t="s">
        <v>504</v>
      </c>
    </row>
    <row r="33" spans="1:1">
      <c r="A33" s="204" t="s">
        <v>505</v>
      </c>
    </row>
    <row r="35" spans="1:1">
      <c r="A35" s="207" t="s">
        <v>506</v>
      </c>
    </row>
    <row r="36" spans="1:1">
      <c r="A36" s="207" t="s">
        <v>507</v>
      </c>
    </row>
    <row r="37" spans="1:1">
      <c r="A37" s="296">
        <v>45413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</dc:creator>
  <cp:keywords/>
  <dc:description/>
  <cp:lastModifiedBy>Guest User</cp:lastModifiedBy>
  <cp:revision/>
  <dcterms:created xsi:type="dcterms:W3CDTF">2015-04-15T12:12:59Z</dcterms:created>
  <dcterms:modified xsi:type="dcterms:W3CDTF">2024-06-12T15:59:37Z</dcterms:modified>
  <cp:category/>
  <cp:contentStatus/>
</cp:coreProperties>
</file>